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E265D8A4-D657-4A4E-B90B-1E15F1DE0329}" xr6:coauthVersionLast="47" xr6:coauthVersionMax="47" xr10:uidLastSave="{00000000-0000-0000-0000-000000000000}"/>
  <bookViews>
    <workbookView xWindow="-120" yWindow="-120" windowWidth="29040" windowHeight="15840" tabRatio="815" xr2:uid="{00000000-000D-0000-FFFF-FFFF00000000}"/>
  </bookViews>
  <sheets>
    <sheet name="Inventory" sheetId="4" r:id="rId1"/>
    <sheet name="Log" sheetId="3" r:id="rId2"/>
    <sheet name="VRC C-2A 2-ACFT DRRS(U)" sheetId="1" r:id="rId3"/>
    <sheet name="VRC C-2A FDNF DRRS(U)" sheetId="6" r:id="rId4"/>
    <sheet name="VRC (C-2A FRS)" sheetId="9" r:id="rId5"/>
    <sheet name="VRC C-2A Reduced MET Matrix" sheetId="8" r:id="rId6"/>
    <sheet name="C-2A Mission System Summary" sheetId="12" r:id="rId7"/>
    <sheet name="VRC C-2A Mission Systems" sheetId="11" r:id="rId8"/>
    <sheet name="Definition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E9" i="4"/>
  <c r="E10" i="4"/>
  <c r="D6" i="4"/>
  <c r="E6" i="4" s="1"/>
  <c r="A6" i="4"/>
  <c r="B112" i="1"/>
  <c r="A112" i="1"/>
  <c r="B111" i="1"/>
  <c r="A111" i="1"/>
  <c r="B110" i="1"/>
  <c r="A110" i="1"/>
  <c r="B109" i="1"/>
  <c r="A109" i="1"/>
  <c r="B108" i="1"/>
  <c r="A108" i="1"/>
  <c r="B107" i="1"/>
  <c r="A107" i="1"/>
  <c r="B112" i="6"/>
  <c r="B111" i="6"/>
  <c r="B110" i="6"/>
  <c r="B109" i="6"/>
  <c r="B108" i="6"/>
  <c r="B107" i="6"/>
  <c r="A112" i="6"/>
  <c r="A108" i="6"/>
  <c r="A109" i="6"/>
  <c r="A110" i="6"/>
  <c r="A111" i="6"/>
  <c r="A107" i="6"/>
  <c r="B18" i="9"/>
  <c r="B17" i="9"/>
  <c r="B2" i="12"/>
  <c r="B106" i="1" s="1"/>
  <c r="B106" i="6" l="1"/>
  <c r="C4" i="4"/>
  <c r="C3" i="4"/>
  <c r="C2" i="4"/>
  <c r="B25" i="9" l="1"/>
  <c r="O15" i="6"/>
  <c r="O16" i="6" s="1"/>
  <c r="O17" i="6" s="1"/>
  <c r="O18" i="6" s="1"/>
  <c r="O19" i="6" s="1"/>
  <c r="O20" i="6" s="1"/>
  <c r="O21" i="6" s="1"/>
  <c r="O22" i="6" s="1"/>
  <c r="O23" i="6" s="1"/>
  <c r="O24" i="6" s="1"/>
  <c r="O25" i="6" s="1"/>
  <c r="O26" i="6" s="1"/>
  <c r="O27" i="6" s="1"/>
  <c r="O28" i="6" s="1"/>
  <c r="O29" i="6" s="1"/>
  <c r="O30" i="6" s="1"/>
  <c r="O31" i="6" s="1"/>
  <c r="D7" i="4"/>
  <c r="E7" i="4" s="1"/>
  <c r="D4" i="4"/>
  <c r="E4" i="4" s="1"/>
  <c r="A4" i="4"/>
  <c r="A7" i="4"/>
  <c r="A95" i="6"/>
  <c r="A96" i="6"/>
  <c r="A97" i="6"/>
  <c r="A98" i="6"/>
  <c r="A99" i="6"/>
  <c r="A95" i="1"/>
  <c r="A96" i="1"/>
  <c r="A97" i="1"/>
  <c r="A98" i="1"/>
  <c r="A99" i="1"/>
  <c r="M143" i="6"/>
  <c r="L143" i="6"/>
  <c r="K143" i="6"/>
  <c r="J143" i="6"/>
  <c r="I143" i="6"/>
  <c r="H143" i="6"/>
  <c r="G143" i="6"/>
  <c r="F143" i="6"/>
  <c r="E143" i="6"/>
  <c r="D143" i="6"/>
  <c r="C143" i="6"/>
  <c r="B143" i="6"/>
  <c r="A102" i="6"/>
  <c r="A101" i="6"/>
  <c r="F99" i="6"/>
  <c r="D99" i="6"/>
  <c r="F98" i="6"/>
  <c r="D98" i="6"/>
  <c r="F97" i="6"/>
  <c r="D97" i="6"/>
  <c r="F96" i="6"/>
  <c r="D96" i="6"/>
  <c r="F95" i="6"/>
  <c r="D95" i="6"/>
  <c r="D94" i="6"/>
  <c r="A94" i="6"/>
  <c r="F92" i="6"/>
  <c r="D92" i="6"/>
  <c r="F91" i="6"/>
  <c r="B70" i="6" a="1"/>
  <c r="B70" i="6" s="1"/>
  <c r="I68" i="6"/>
  <c r="H68" i="6"/>
  <c r="G68" i="6"/>
  <c r="C68" i="6"/>
  <c r="B68" i="6"/>
  <c r="I67" i="6"/>
  <c r="H67" i="6"/>
  <c r="G67" i="6"/>
  <c r="C67" i="6"/>
  <c r="B67" i="6"/>
  <c r="N57" i="6"/>
  <c r="M57" i="6"/>
  <c r="L57" i="6"/>
  <c r="K57" i="6"/>
  <c r="J57" i="6"/>
  <c r="I57" i="6"/>
  <c r="H57" i="6"/>
  <c r="G57" i="6"/>
  <c r="F57" i="6"/>
  <c r="E57" i="6"/>
  <c r="D57" i="6"/>
  <c r="C57" i="6"/>
  <c r="B57" i="6"/>
  <c r="N56" i="6"/>
  <c r="M56" i="6"/>
  <c r="L56" i="6"/>
  <c r="K56" i="6"/>
  <c r="J56" i="6"/>
  <c r="I56" i="6"/>
  <c r="H56" i="6"/>
  <c r="G56" i="6"/>
  <c r="F56" i="6"/>
  <c r="E56" i="6"/>
  <c r="D56" i="6"/>
  <c r="C56" i="6"/>
  <c r="B56" i="6"/>
  <c r="N55" i="6"/>
  <c r="M55" i="6"/>
  <c r="L55" i="6"/>
  <c r="K55" i="6"/>
  <c r="J55" i="6"/>
  <c r="I55" i="6"/>
  <c r="H55" i="6"/>
  <c r="G55" i="6"/>
  <c r="F55" i="6"/>
  <c r="E55" i="6"/>
  <c r="D55" i="6"/>
  <c r="C55" i="6"/>
  <c r="B55" i="6"/>
  <c r="N54" i="6"/>
  <c r="M54" i="6"/>
  <c r="L54" i="6"/>
  <c r="K54" i="6"/>
  <c r="J54" i="6"/>
  <c r="I54" i="6"/>
  <c r="H54" i="6"/>
  <c r="G54" i="6"/>
  <c r="F54" i="6"/>
  <c r="E54" i="6"/>
  <c r="D54" i="6"/>
  <c r="C54" i="6"/>
  <c r="B54" i="6"/>
  <c r="N53" i="6"/>
  <c r="M53" i="6"/>
  <c r="L53" i="6"/>
  <c r="K53" i="6"/>
  <c r="J53" i="6"/>
  <c r="I53" i="6"/>
  <c r="H53" i="6"/>
  <c r="G53" i="6"/>
  <c r="F53" i="6"/>
  <c r="E53" i="6"/>
  <c r="D53" i="6"/>
  <c r="C53" i="6"/>
  <c r="B53" i="6"/>
  <c r="N51" i="6"/>
  <c r="N52" i="6" s="1"/>
  <c r="M51" i="6"/>
  <c r="M52" i="6" s="1"/>
  <c r="L51" i="6"/>
  <c r="L52" i="6" s="1"/>
  <c r="K51" i="6"/>
  <c r="K52" i="6" s="1"/>
  <c r="J51" i="6"/>
  <c r="J52" i="6" s="1"/>
  <c r="I51" i="6"/>
  <c r="I52" i="6" s="1"/>
  <c r="H51" i="6"/>
  <c r="H52" i="6" s="1"/>
  <c r="G51" i="6"/>
  <c r="G52" i="6" s="1"/>
  <c r="F51" i="6"/>
  <c r="F52" i="6" s="1"/>
  <c r="E51" i="6"/>
  <c r="E52" i="6" s="1"/>
  <c r="D51" i="6"/>
  <c r="D52" i="6" s="1"/>
  <c r="C51" i="6"/>
  <c r="C52" i="6" s="1"/>
  <c r="B51" i="6"/>
  <c r="B52" i="6" s="1"/>
  <c r="F49" i="6"/>
  <c r="F50" i="6" s="1"/>
  <c r="N49" i="6"/>
  <c r="N50" i="6" s="1"/>
  <c r="M49" i="6"/>
  <c r="M50" i="6" s="1"/>
  <c r="L49" i="6"/>
  <c r="L50" i="6" s="1"/>
  <c r="K49" i="6"/>
  <c r="K50" i="6" s="1"/>
  <c r="J49" i="6"/>
  <c r="J50" i="6" s="1"/>
  <c r="I49" i="6"/>
  <c r="I50" i="6" s="1"/>
  <c r="H49" i="6"/>
  <c r="H50" i="6" s="1"/>
  <c r="G49" i="6"/>
  <c r="G50" i="6" s="1"/>
  <c r="E49" i="6"/>
  <c r="E50" i="6" s="1"/>
  <c r="D49" i="6"/>
  <c r="D50" i="6" s="1"/>
  <c r="C49" i="6"/>
  <c r="C50" i="6" s="1"/>
  <c r="B49" i="6"/>
  <c r="B50" i="6" s="1"/>
  <c r="K33" i="6"/>
  <c r="K36" i="6" s="1"/>
  <c r="N35" i="6"/>
  <c r="M35" i="6"/>
  <c r="L35" i="6"/>
  <c r="K35" i="6"/>
  <c r="J35" i="6"/>
  <c r="I35" i="6"/>
  <c r="H35" i="6"/>
  <c r="G35" i="6"/>
  <c r="F35" i="6"/>
  <c r="E35" i="6"/>
  <c r="D35" i="6"/>
  <c r="C35" i="6"/>
  <c r="B35" i="6"/>
  <c r="N33" i="6"/>
  <c r="N36" i="6" s="1"/>
  <c r="M33" i="6"/>
  <c r="M36" i="6" s="1"/>
  <c r="L33" i="6"/>
  <c r="L36" i="6" s="1"/>
  <c r="J33" i="6"/>
  <c r="J36" i="6" s="1"/>
  <c r="I33" i="6"/>
  <c r="I36" i="6" s="1"/>
  <c r="H33" i="6"/>
  <c r="H36" i="6"/>
  <c r="G33" i="6"/>
  <c r="G36" i="6" s="1"/>
  <c r="F33" i="6"/>
  <c r="F36" i="6" s="1"/>
  <c r="E33" i="6"/>
  <c r="E36" i="6" s="1"/>
  <c r="D33" i="6"/>
  <c r="D36" i="6" s="1"/>
  <c r="C33" i="6"/>
  <c r="C36" i="6" s="1"/>
  <c r="B33" i="6"/>
  <c r="B36" i="6" s="1"/>
  <c r="N30" i="6"/>
  <c r="M30" i="6"/>
  <c r="L30" i="6"/>
  <c r="K30" i="6"/>
  <c r="J30" i="6"/>
  <c r="F30" i="6"/>
  <c r="E30" i="6"/>
  <c r="D30" i="6"/>
  <c r="M26" i="6"/>
  <c r="L26" i="6"/>
  <c r="K26" i="6"/>
  <c r="J26" i="6"/>
  <c r="I26" i="6"/>
  <c r="H26" i="6"/>
  <c r="G26" i="6"/>
  <c r="F26" i="6"/>
  <c r="E26" i="6"/>
  <c r="D26" i="6"/>
  <c r="C26" i="6"/>
  <c r="B26" i="6"/>
  <c r="M24" i="6"/>
  <c r="L24" i="6"/>
  <c r="K24" i="6"/>
  <c r="J24" i="6"/>
  <c r="F24" i="6"/>
  <c r="E24" i="6"/>
  <c r="D24" i="6"/>
  <c r="N18" i="6"/>
  <c r="M18" i="6"/>
  <c r="L18" i="6"/>
  <c r="K18" i="6"/>
  <c r="J18" i="6"/>
  <c r="I18" i="6"/>
  <c r="H18" i="6"/>
  <c r="G18" i="6"/>
  <c r="F18" i="6"/>
  <c r="E18" i="6"/>
  <c r="D18" i="6"/>
  <c r="C18" i="6"/>
  <c r="B18" i="6"/>
  <c r="B4" i="6"/>
  <c r="B10" i="6" s="1"/>
  <c r="N24" i="6" s="1"/>
  <c r="B102" i="1"/>
  <c r="A102" i="1"/>
  <c r="B101" i="1"/>
  <c r="A101" i="1"/>
  <c r="F99" i="1"/>
  <c r="D99" i="1"/>
  <c r="F98" i="1"/>
  <c r="D98" i="1"/>
  <c r="F97" i="1"/>
  <c r="D97" i="1"/>
  <c r="F96" i="1"/>
  <c r="D96" i="1"/>
  <c r="F95" i="1"/>
  <c r="D95" i="1"/>
  <c r="A94" i="1"/>
  <c r="F92" i="1"/>
  <c r="D92" i="1"/>
  <c r="F91" i="1"/>
  <c r="B70" i="1" a="1"/>
  <c r="B70" i="1" s="1"/>
  <c r="W68" i="1"/>
  <c r="V68" i="1"/>
  <c r="U68" i="1"/>
  <c r="T68" i="1"/>
  <c r="S68" i="1"/>
  <c r="R68" i="1"/>
  <c r="W67" i="1"/>
  <c r="V67" i="1"/>
  <c r="U67" i="1"/>
  <c r="T67" i="1"/>
  <c r="S67" i="1"/>
  <c r="R6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57"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56" i="1"/>
  <c r="A56"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55"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54"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53" i="1"/>
  <c r="AC52" i="1"/>
  <c r="AB52" i="1"/>
  <c r="AA52" i="1"/>
  <c r="Q52" i="1"/>
  <c r="P52" i="1"/>
  <c r="O52" i="1"/>
  <c r="N52" i="1"/>
  <c r="M52" i="1"/>
  <c r="L52" i="1"/>
  <c r="K52" i="1"/>
  <c r="J52" i="1"/>
  <c r="I52" i="1"/>
  <c r="H52" i="1"/>
  <c r="G52" i="1"/>
  <c r="F52" i="1"/>
  <c r="E52" i="1"/>
  <c r="D52" i="1"/>
  <c r="C52" i="1"/>
  <c r="B52" i="1"/>
  <c r="AC51" i="1"/>
  <c r="AB51" i="1"/>
  <c r="AA51" i="1"/>
  <c r="Z51" i="1"/>
  <c r="Z52" i="1" s="1"/>
  <c r="Y51" i="1"/>
  <c r="Y52" i="1" s="1"/>
  <c r="X51" i="1"/>
  <c r="X52" i="1" s="1"/>
  <c r="W51" i="1"/>
  <c r="W52" i="1" s="1"/>
  <c r="V51" i="1"/>
  <c r="V52" i="1" s="1"/>
  <c r="U51" i="1"/>
  <c r="U52" i="1" s="1"/>
  <c r="T51" i="1"/>
  <c r="T52" i="1" s="1"/>
  <c r="S51" i="1"/>
  <c r="S52" i="1" s="1"/>
  <c r="R51" i="1"/>
  <c r="R52" i="1" s="1"/>
  <c r="Q51" i="1"/>
  <c r="P51" i="1"/>
  <c r="O51" i="1"/>
  <c r="N51" i="1"/>
  <c r="M51" i="1"/>
  <c r="L51" i="1"/>
  <c r="K51" i="1"/>
  <c r="J51" i="1"/>
  <c r="I51" i="1"/>
  <c r="H51" i="1"/>
  <c r="G51" i="1"/>
  <c r="F51" i="1"/>
  <c r="E51" i="1"/>
  <c r="D51" i="1"/>
  <c r="C51" i="1"/>
  <c r="B51"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E36" i="1"/>
  <c r="AE41" i="1" s="1"/>
  <c r="AD36"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C33" i="1"/>
  <c r="AC36" i="1" s="1"/>
  <c r="AB33" i="1"/>
  <c r="AB36" i="1" s="1"/>
  <c r="AA33" i="1"/>
  <c r="AA36" i="1" s="1"/>
  <c r="Z33" i="1"/>
  <c r="Z36" i="1" s="1"/>
  <c r="Y33" i="1"/>
  <c r="Y36" i="1" s="1"/>
  <c r="X33" i="1"/>
  <c r="X36" i="1" s="1"/>
  <c r="W33" i="1"/>
  <c r="W36" i="1" s="1"/>
  <c r="V33" i="1"/>
  <c r="V36" i="1" s="1"/>
  <c r="U33" i="1"/>
  <c r="U36" i="1" s="1"/>
  <c r="T33" i="1"/>
  <c r="T36" i="1" s="1"/>
  <c r="S33" i="1"/>
  <c r="S36" i="1" s="1"/>
  <c r="R33" i="1"/>
  <c r="R36" i="1" s="1"/>
  <c r="Q33" i="1"/>
  <c r="Q36" i="1" s="1"/>
  <c r="P33" i="1"/>
  <c r="P36" i="1" s="1"/>
  <c r="O33" i="1"/>
  <c r="O36" i="1" s="1"/>
  <c r="N33" i="1"/>
  <c r="N36" i="1" s="1"/>
  <c r="M33" i="1"/>
  <c r="M36" i="1" s="1"/>
  <c r="L33" i="1"/>
  <c r="L36" i="1" s="1"/>
  <c r="K33" i="1"/>
  <c r="K36" i="1" s="1"/>
  <c r="J33" i="1"/>
  <c r="J36" i="1" s="1"/>
  <c r="I33" i="1"/>
  <c r="I36" i="1" s="1"/>
  <c r="H33" i="1"/>
  <c r="H36" i="1" s="1"/>
  <c r="G33" i="1"/>
  <c r="G36" i="1" s="1"/>
  <c r="F33" i="1"/>
  <c r="F36" i="1" s="1"/>
  <c r="E33" i="1"/>
  <c r="E36" i="1" s="1"/>
  <c r="D33" i="1"/>
  <c r="D36" i="1" s="1"/>
  <c r="C33" i="1"/>
  <c r="C36" i="1" s="1"/>
  <c r="B33" i="1"/>
  <c r="B36" i="1" s="1"/>
  <c r="X30" i="1"/>
  <c r="W30" i="1"/>
  <c r="V30" i="1"/>
  <c r="U30" i="1"/>
  <c r="T30" i="1"/>
  <c r="S30" i="1"/>
  <c r="R30" i="1"/>
  <c r="Q30" i="1"/>
  <c r="P30" i="1"/>
  <c r="M30" i="1"/>
  <c r="L30" i="1"/>
  <c r="K30" i="1"/>
  <c r="J30" i="1"/>
  <c r="E30" i="1"/>
  <c r="AE27" i="1"/>
  <c r="AD27" i="1"/>
  <c r="X26" i="1"/>
  <c r="W26" i="1"/>
  <c r="V26" i="1"/>
  <c r="U26" i="1"/>
  <c r="T26" i="1"/>
  <c r="S26" i="1"/>
  <c r="R26" i="1"/>
  <c r="Q26" i="1"/>
  <c r="P26" i="1"/>
  <c r="M26" i="1"/>
  <c r="L26" i="1"/>
  <c r="K26" i="1"/>
  <c r="J26" i="1"/>
  <c r="E26" i="1"/>
  <c r="AB24" i="1"/>
  <c r="AA24" i="1"/>
  <c r="Z24" i="1"/>
  <c r="Y24" i="1"/>
  <c r="X24" i="1"/>
  <c r="Q24" i="1"/>
  <c r="P24" i="1"/>
  <c r="O24" i="1"/>
  <c r="N24" i="1"/>
  <c r="M24" i="1"/>
  <c r="L24" i="1"/>
  <c r="K24" i="1"/>
  <c r="J24" i="1"/>
  <c r="I24" i="1"/>
  <c r="H24" i="1"/>
  <c r="G24" i="1"/>
  <c r="F24" i="1"/>
  <c r="E24" i="1"/>
  <c r="D24" i="1"/>
  <c r="C24" i="1"/>
  <c r="B24" i="1"/>
  <c r="AE22" i="1"/>
  <c r="AD22" i="1"/>
  <c r="Z18" i="1"/>
  <c r="Y18" i="1"/>
  <c r="X18" i="1"/>
  <c r="W18" i="1"/>
  <c r="V18" i="1"/>
  <c r="U18" i="1"/>
  <c r="T18" i="1"/>
  <c r="S18" i="1"/>
  <c r="R18" i="1"/>
  <c r="Q18" i="1"/>
  <c r="P18" i="1"/>
  <c r="O18" i="1"/>
  <c r="N18" i="1"/>
  <c r="M18" i="1"/>
  <c r="L18" i="1"/>
  <c r="AF15" i="1"/>
  <c r="AF16" i="1" s="1"/>
  <c r="AF17" i="1" s="1"/>
  <c r="AF18" i="1" s="1"/>
  <c r="AF19" i="1" s="1"/>
  <c r="AF20" i="1" s="1"/>
  <c r="AF21" i="1" s="1"/>
  <c r="AF22" i="1" s="1"/>
  <c r="AF23" i="1" s="1"/>
  <c r="AF24" i="1" s="1"/>
  <c r="AF25" i="1" s="1"/>
  <c r="AF26" i="1" s="1"/>
  <c r="AF27" i="1" s="1"/>
  <c r="AF28" i="1" s="1"/>
  <c r="AF29" i="1" s="1"/>
  <c r="AF30" i="1" s="1"/>
  <c r="AF31" i="1" s="1"/>
  <c r="AF32" i="1" s="1"/>
  <c r="B4" i="1"/>
  <c r="B7" i="1" s="1"/>
  <c r="B8" i="1" s="1"/>
  <c r="D5" i="4"/>
  <c r="E5" i="4" s="1"/>
  <c r="A5" i="4"/>
  <c r="D3" i="4"/>
  <c r="E3" i="4" s="1"/>
  <c r="A3" i="4"/>
  <c r="D2" i="4"/>
  <c r="E2" i="4" s="1"/>
  <c r="A2" i="4"/>
  <c r="C91" i="6"/>
  <c r="D91" i="6" s="1"/>
  <c r="AD41" i="1"/>
  <c r="AD40" i="1"/>
  <c r="AD44" i="1"/>
  <c r="AD39" i="1"/>
  <c r="C91" i="1"/>
  <c r="D91" i="1" s="1"/>
  <c r="C43" i="1" l="1"/>
  <c r="C34" i="1"/>
  <c r="C37" i="1" s="1"/>
  <c r="H39" i="6"/>
  <c r="H41" i="6"/>
  <c r="H43" i="6"/>
  <c r="H34" i="6"/>
  <c r="H37" i="6" s="1"/>
  <c r="H40" i="6"/>
  <c r="H42" i="6"/>
  <c r="H44" i="6"/>
  <c r="D43" i="1"/>
  <c r="D34" i="1"/>
  <c r="D37" i="1" s="1"/>
  <c r="L43" i="1"/>
  <c r="L34" i="1"/>
  <c r="L37" i="1" s="1"/>
  <c r="T43" i="1"/>
  <c r="T34" i="1"/>
  <c r="T37" i="1" s="1"/>
  <c r="AB43" i="1"/>
  <c r="AB34" i="1"/>
  <c r="AB37" i="1" s="1"/>
  <c r="E41" i="1"/>
  <c r="E43" i="1"/>
  <c r="E34" i="1"/>
  <c r="E37" i="1" s="1"/>
  <c r="AC43" i="1"/>
  <c r="AC34" i="1"/>
  <c r="AC37" i="1" s="1"/>
  <c r="B39" i="6"/>
  <c r="B41" i="6"/>
  <c r="B40" i="6"/>
  <c r="B34" i="6"/>
  <c r="B37" i="6" s="1"/>
  <c r="B44" i="6"/>
  <c r="B43" i="6"/>
  <c r="B42" i="6"/>
  <c r="I39" i="6"/>
  <c r="I41" i="6"/>
  <c r="I43" i="6"/>
  <c r="I34" i="6"/>
  <c r="I37" i="6" s="1"/>
  <c r="I40" i="6"/>
  <c r="I42" i="6"/>
  <c r="I44" i="6"/>
  <c r="F43" i="1"/>
  <c r="F34" i="1"/>
  <c r="F37" i="1" s="1"/>
  <c r="N34" i="1"/>
  <c r="N37" i="1" s="1"/>
  <c r="N43" i="1"/>
  <c r="V34" i="1"/>
  <c r="V37" i="1" s="1"/>
  <c r="V43" i="1"/>
  <c r="C40" i="6"/>
  <c r="C42" i="6"/>
  <c r="C39" i="6"/>
  <c r="C41" i="6"/>
  <c r="C43" i="6"/>
  <c r="C44" i="6"/>
  <c r="C34" i="6"/>
  <c r="C37" i="6" s="1"/>
  <c r="J40" i="6"/>
  <c r="J44" i="6"/>
  <c r="J39" i="6"/>
  <c r="J41" i="6"/>
  <c r="J43" i="6"/>
  <c r="J42" i="6"/>
  <c r="J34" i="6"/>
  <c r="J37" i="6" s="1"/>
  <c r="K43" i="1"/>
  <c r="K34" i="1"/>
  <c r="K37" i="1" s="1"/>
  <c r="U34" i="1"/>
  <c r="U37" i="1" s="1"/>
  <c r="U43" i="1"/>
  <c r="G41" i="1"/>
  <c r="G34" i="1"/>
  <c r="G37" i="1" s="1"/>
  <c r="G43" i="1"/>
  <c r="O34" i="1"/>
  <c r="O37" i="1" s="1"/>
  <c r="O43" i="1"/>
  <c r="W41" i="1"/>
  <c r="W34" i="1"/>
  <c r="W37" i="1" s="1"/>
  <c r="W43" i="1"/>
  <c r="D40" i="6"/>
  <c r="D42" i="6"/>
  <c r="D44" i="6"/>
  <c r="D34" i="6"/>
  <c r="D37" i="6" s="1"/>
  <c r="D39" i="6"/>
  <c r="D41" i="6"/>
  <c r="D43" i="6"/>
  <c r="L40" i="6"/>
  <c r="L42" i="6"/>
  <c r="L44" i="6"/>
  <c r="L39" i="6"/>
  <c r="L41" i="6"/>
  <c r="L43" i="6"/>
  <c r="L34" i="6"/>
  <c r="L37" i="6" s="1"/>
  <c r="K39" i="6"/>
  <c r="K41" i="6"/>
  <c r="K43" i="6"/>
  <c r="K40" i="6"/>
  <c r="K44" i="6"/>
  <c r="K34" i="6"/>
  <c r="K37" i="6" s="1"/>
  <c r="K42" i="6"/>
  <c r="AA41" i="1"/>
  <c r="AA43" i="1"/>
  <c r="AA34" i="1"/>
  <c r="AA37" i="1" s="1"/>
  <c r="AE44" i="1"/>
  <c r="AE34" i="1"/>
  <c r="AE37" i="1" s="1"/>
  <c r="AE43" i="1"/>
  <c r="X34" i="1"/>
  <c r="X37" i="1" s="1"/>
  <c r="X43" i="1"/>
  <c r="E34" i="6"/>
  <c r="E37" i="6" s="1"/>
  <c r="E40" i="6"/>
  <c r="E42" i="6"/>
  <c r="E44" i="6"/>
  <c r="E39" i="6"/>
  <c r="E41" i="6"/>
  <c r="E43" i="6"/>
  <c r="M40" i="6"/>
  <c r="M42" i="6"/>
  <c r="M44" i="6"/>
  <c r="M34" i="6"/>
  <c r="M37" i="6" s="1"/>
  <c r="M39" i="6"/>
  <c r="M41" i="6"/>
  <c r="M43" i="6"/>
  <c r="S43" i="1"/>
  <c r="S34" i="1"/>
  <c r="S37" i="1" s="1"/>
  <c r="M41" i="1"/>
  <c r="M34" i="1"/>
  <c r="M37" i="1" s="1"/>
  <c r="M43" i="1"/>
  <c r="H43" i="1"/>
  <c r="H34" i="1"/>
  <c r="H37" i="1" s="1"/>
  <c r="AE40" i="1"/>
  <c r="I34" i="1"/>
  <c r="I37" i="1" s="1"/>
  <c r="I43" i="1"/>
  <c r="Q34" i="1"/>
  <c r="Q37" i="1" s="1"/>
  <c r="Q43" i="1"/>
  <c r="Y34" i="1"/>
  <c r="Y37" i="1" s="1"/>
  <c r="Y43" i="1"/>
  <c r="F34" i="6"/>
  <c r="F37" i="6" s="1"/>
  <c r="F43" i="6"/>
  <c r="F40" i="6"/>
  <c r="F42" i="6"/>
  <c r="F44" i="6"/>
  <c r="F41" i="6"/>
  <c r="F39" i="6"/>
  <c r="N34" i="6"/>
  <c r="N37" i="6" s="1"/>
  <c r="N41" i="6"/>
  <c r="N40" i="6"/>
  <c r="N42" i="6"/>
  <c r="N44" i="6"/>
  <c r="N39" i="6"/>
  <c r="N43" i="6"/>
  <c r="P40" i="1"/>
  <c r="P34" i="1"/>
  <c r="P37" i="1" s="1"/>
  <c r="P43" i="1"/>
  <c r="B41" i="1"/>
  <c r="B42" i="1"/>
  <c r="B40" i="1"/>
  <c r="B44" i="1"/>
  <c r="B34" i="1"/>
  <c r="B37" i="1" s="1"/>
  <c r="B39" i="1"/>
  <c r="B94" i="1" s="1"/>
  <c r="B43" i="1"/>
  <c r="J43" i="1"/>
  <c r="J34" i="1"/>
  <c r="J37" i="1" s="1"/>
  <c r="R43" i="1"/>
  <c r="R34" i="1"/>
  <c r="R37" i="1" s="1"/>
  <c r="Z43" i="1"/>
  <c r="Z34" i="1"/>
  <c r="Z37" i="1" s="1"/>
  <c r="AD42" i="1"/>
  <c r="AD34" i="1"/>
  <c r="AD37" i="1" s="1"/>
  <c r="AD43" i="1"/>
  <c r="G34" i="6"/>
  <c r="G37" i="6" s="1"/>
  <c r="G41" i="6"/>
  <c r="G43" i="6"/>
  <c r="G40" i="6"/>
  <c r="G42" i="6"/>
  <c r="G44" i="6"/>
  <c r="G39" i="6"/>
  <c r="O32" i="6"/>
  <c r="O33" i="6" s="1"/>
  <c r="O34" i="6" s="1"/>
  <c r="O35" i="6" s="1"/>
  <c r="O36" i="6" s="1"/>
  <c r="O37" i="6" s="1"/>
  <c r="O38" i="6" s="1"/>
  <c r="O39" i="6" s="1"/>
  <c r="O40" i="6" s="1"/>
  <c r="O41" i="6" s="1"/>
  <c r="O42" i="6" s="1"/>
  <c r="O43" i="6" s="1"/>
  <c r="O44" i="6" s="1"/>
  <c r="O45" i="6" s="1"/>
  <c r="O46" i="6" s="1"/>
  <c r="O47" i="6" s="1"/>
  <c r="Q42" i="6" s="1"/>
  <c r="Q44" i="6" s="1"/>
  <c r="AB44" i="1"/>
  <c r="AB41" i="1"/>
  <c r="AB40" i="1"/>
  <c r="B11" i="1"/>
  <c r="N30" i="1" s="1"/>
  <c r="X41" i="1"/>
  <c r="X40" i="1"/>
  <c r="X44" i="1"/>
  <c r="I44" i="1"/>
  <c r="I40" i="1"/>
  <c r="I41" i="1"/>
  <c r="Z30" i="1"/>
  <c r="AF33" i="1"/>
  <c r="AF34" i="1" s="1"/>
  <c r="AF35" i="1" s="1"/>
  <c r="AF36" i="1" s="1"/>
  <c r="AF37" i="1" s="1"/>
  <c r="AF38" i="1" s="1"/>
  <c r="AF39" i="1" s="1"/>
  <c r="AF40" i="1" s="1"/>
  <c r="AF41" i="1" s="1"/>
  <c r="AF42" i="1" s="1"/>
  <c r="AF43" i="1" s="1"/>
  <c r="AF44" i="1" s="1"/>
  <c r="AF45" i="1" s="1"/>
  <c r="AF46" i="1" s="1"/>
  <c r="AF47" i="1" s="1"/>
  <c r="AH41" i="1" s="1"/>
  <c r="AH43" i="1" s="1"/>
  <c r="I24" i="6"/>
  <c r="C24" i="6"/>
  <c r="H24" i="6"/>
  <c r="G24" i="6"/>
  <c r="B24" i="6"/>
  <c r="B11" i="6"/>
  <c r="C30" i="6" s="1"/>
  <c r="B7" i="6"/>
  <c r="B8" i="6" s="1"/>
  <c r="B21" i="6" s="1"/>
  <c r="B9" i="6"/>
  <c r="D23" i="6" s="1"/>
  <c r="Q45" i="6"/>
  <c r="K68" i="6"/>
  <c r="F68" i="6"/>
  <c r="L64" i="6"/>
  <c r="H64" i="6"/>
  <c r="I64" i="6"/>
  <c r="E68" i="6"/>
  <c r="J64" i="6"/>
  <c r="B64" i="6"/>
  <c r="K64" i="6"/>
  <c r="F64" i="6"/>
  <c r="B71" i="6"/>
  <c r="D64" i="6"/>
  <c r="E64" i="6"/>
  <c r="G64" i="6"/>
  <c r="M64" i="6"/>
  <c r="M68" i="6"/>
  <c r="C64" i="6"/>
  <c r="D68" i="6"/>
  <c r="L68" i="6"/>
  <c r="J68" i="6"/>
  <c r="C40" i="1"/>
  <c r="C41" i="1"/>
  <c r="C44" i="1"/>
  <c r="AC41" i="1"/>
  <c r="AC44" i="1"/>
  <c r="Q41" i="1"/>
  <c r="Q40" i="1"/>
  <c r="Q44" i="1"/>
  <c r="K44" i="1"/>
  <c r="K40" i="1"/>
  <c r="K41" i="1"/>
  <c r="T44" i="1"/>
  <c r="T41" i="1"/>
  <c r="G30" i="1"/>
  <c r="O30" i="1"/>
  <c r="AA30" i="1"/>
  <c r="AE42" i="1"/>
  <c r="B9" i="1"/>
  <c r="C30" i="1"/>
  <c r="W40" i="1"/>
  <c r="P41" i="1"/>
  <c r="H30" i="1"/>
  <c r="E44" i="1"/>
  <c r="F30" i="1"/>
  <c r="E40" i="1"/>
  <c r="P44" i="1"/>
  <c r="Y30" i="1"/>
  <c r="B10" i="1"/>
  <c r="D44" i="1"/>
  <c r="D41" i="1"/>
  <c r="D40" i="1"/>
  <c r="O41" i="1"/>
  <c r="O40" i="1"/>
  <c r="O44" i="1"/>
  <c r="Y44" i="1"/>
  <c r="Y41" i="1"/>
  <c r="Y40" i="1"/>
  <c r="F40" i="1"/>
  <c r="F41" i="1"/>
  <c r="F44" i="1"/>
  <c r="W21" i="1"/>
  <c r="L21" i="1"/>
  <c r="E21" i="1"/>
  <c r="N21" i="1"/>
  <c r="F21" i="1"/>
  <c r="I21" i="1"/>
  <c r="T21" i="1"/>
  <c r="R21" i="1"/>
  <c r="P21" i="1"/>
  <c r="AA21" i="1"/>
  <c r="G21" i="1"/>
  <c r="Z21" i="1"/>
  <c r="K21" i="1"/>
  <c r="M21" i="1"/>
  <c r="X21" i="1"/>
  <c r="AB21" i="1"/>
  <c r="D21" i="1"/>
  <c r="J21" i="1"/>
  <c r="AC21" i="1"/>
  <c r="V21" i="1"/>
  <c r="H21" i="1"/>
  <c r="Q21" i="1"/>
  <c r="B21" i="1"/>
  <c r="Y21" i="1"/>
  <c r="O21" i="1"/>
  <c r="S21" i="1"/>
  <c r="U21" i="1"/>
  <c r="C21" i="1"/>
  <c r="R41" i="1"/>
  <c r="R40" i="1"/>
  <c r="R44" i="1"/>
  <c r="Z40" i="1"/>
  <c r="Z44" i="1"/>
  <c r="Z41" i="1"/>
  <c r="S41" i="1"/>
  <c r="S40" i="1"/>
  <c r="S44" i="1"/>
  <c r="J44" i="1"/>
  <c r="J40" i="1"/>
  <c r="AH44" i="1" s="1"/>
  <c r="J41" i="1"/>
  <c r="H64" i="1"/>
  <c r="B68" i="1"/>
  <c r="D68" i="1"/>
  <c r="E64" i="1"/>
  <c r="AB64" i="1"/>
  <c r="L64" i="1"/>
  <c r="Y64" i="1"/>
  <c r="O64" i="1"/>
  <c r="I68" i="1"/>
  <c r="K64" i="1"/>
  <c r="N64" i="1"/>
  <c r="Y68" i="1"/>
  <c r="M64" i="1"/>
  <c r="P68" i="1"/>
  <c r="S64" i="1"/>
  <c r="U64" i="1"/>
  <c r="R64" i="1"/>
  <c r="W64" i="1"/>
  <c r="Z68" i="1"/>
  <c r="J64" i="1"/>
  <c r="N68" i="1"/>
  <c r="O68" i="1"/>
  <c r="J68" i="1"/>
  <c r="Z64" i="1"/>
  <c r="Q64" i="1"/>
  <c r="L68" i="1"/>
  <c r="T64" i="1"/>
  <c r="X68" i="1"/>
  <c r="Q68" i="1"/>
  <c r="E68" i="1"/>
  <c r="X64" i="1"/>
  <c r="AA64" i="1"/>
  <c r="C68" i="1"/>
  <c r="B71" i="1"/>
  <c r="AB68" i="1"/>
  <c r="C64" i="1"/>
  <c r="I64" i="1"/>
  <c r="D64" i="1"/>
  <c r="K68" i="1"/>
  <c r="AC68" i="1"/>
  <c r="F64" i="1"/>
  <c r="AA68" i="1"/>
  <c r="V64" i="1"/>
  <c r="G68" i="1"/>
  <c r="AC64" i="1"/>
  <c r="P64" i="1"/>
  <c r="F68" i="1"/>
  <c r="H68" i="1"/>
  <c r="B64" i="1"/>
  <c r="M68" i="1"/>
  <c r="G64" i="1"/>
  <c r="H41" i="1"/>
  <c r="H40" i="1"/>
  <c r="H44" i="1"/>
  <c r="U40" i="1"/>
  <c r="U41" i="1"/>
  <c r="U44" i="1"/>
  <c r="V41" i="1"/>
  <c r="V44" i="1"/>
  <c r="V40" i="1"/>
  <c r="L44" i="1"/>
  <c r="L41" i="1"/>
  <c r="L40" i="1"/>
  <c r="N41" i="1"/>
  <c r="N44" i="1"/>
  <c r="N40" i="1"/>
  <c r="T40" i="1"/>
  <c r="M40" i="1"/>
  <c r="M44" i="1"/>
  <c r="AE39" i="1"/>
  <c r="AA40" i="1"/>
  <c r="G40" i="1"/>
  <c r="AA44" i="1"/>
  <c r="G44" i="1"/>
  <c r="W44" i="1"/>
  <c r="AC40" i="1"/>
  <c r="K23" i="6" l="1"/>
  <c r="E23" i="6"/>
  <c r="I30" i="1"/>
  <c r="AB30" i="1"/>
  <c r="L23" i="6"/>
  <c r="D30" i="1"/>
  <c r="B30" i="1"/>
  <c r="Q46" i="6"/>
  <c r="Q47" i="6" s="1"/>
  <c r="N23" i="6"/>
  <c r="N25" i="6" s="1"/>
  <c r="N27" i="6" s="1"/>
  <c r="F23" i="6"/>
  <c r="AC30" i="1"/>
  <c r="U24" i="1"/>
  <c r="AC24" i="1"/>
  <c r="F21" i="6"/>
  <c r="F22" i="6" s="1"/>
  <c r="C21" i="6"/>
  <c r="N21" i="6"/>
  <c r="N22" i="6" s="1"/>
  <c r="N26" i="6" s="1"/>
  <c r="D21" i="6"/>
  <c r="D25" i="6" s="1"/>
  <c r="J21" i="6"/>
  <c r="I21" i="6"/>
  <c r="I25" i="6" s="1"/>
  <c r="L21" i="6"/>
  <c r="M21" i="6"/>
  <c r="M22" i="6" s="1"/>
  <c r="G21" i="6"/>
  <c r="G25" i="6" s="1"/>
  <c r="H21" i="6"/>
  <c r="H25" i="6" s="1"/>
  <c r="B30" i="6"/>
  <c r="H30" i="6"/>
  <c r="I30" i="6"/>
  <c r="G30" i="6"/>
  <c r="K21" i="6"/>
  <c r="K25" i="6" s="1"/>
  <c r="E21" i="6"/>
  <c r="E22" i="6" s="1"/>
  <c r="J23" i="6"/>
  <c r="M23" i="6"/>
  <c r="K22" i="6"/>
  <c r="D22" i="6"/>
  <c r="H65" i="6"/>
  <c r="E67" i="6"/>
  <c r="L67" i="6"/>
  <c r="C65" i="6"/>
  <c r="G65" i="6"/>
  <c r="F67" i="6"/>
  <c r="M67" i="6"/>
  <c r="M65" i="6"/>
  <c r="K67" i="6"/>
  <c r="J65" i="6"/>
  <c r="D65" i="6"/>
  <c r="L65" i="6"/>
  <c r="E65" i="6"/>
  <c r="I65" i="6"/>
  <c r="B65" i="6"/>
  <c r="F65" i="6"/>
  <c r="K65" i="6"/>
  <c r="D67" i="6"/>
  <c r="J67" i="6"/>
  <c r="B25" i="6"/>
  <c r="B22" i="6"/>
  <c r="K23" i="1"/>
  <c r="K25" i="1" s="1"/>
  <c r="I23" i="1"/>
  <c r="I25" i="1" s="1"/>
  <c r="S23" i="1"/>
  <c r="S25" i="1" s="1"/>
  <c r="F23" i="1"/>
  <c r="F25" i="1" s="1"/>
  <c r="Q23" i="1"/>
  <c r="Q25" i="1" s="1"/>
  <c r="X23" i="1"/>
  <c r="X25" i="1" s="1"/>
  <c r="W23" i="1"/>
  <c r="C23" i="1"/>
  <c r="C25" i="1" s="1"/>
  <c r="U23" i="1"/>
  <c r="G23" i="1"/>
  <c r="Y23" i="1"/>
  <c r="Y25" i="1" s="1"/>
  <c r="L23" i="1"/>
  <c r="L25" i="1" s="1"/>
  <c r="AD23" i="1"/>
  <c r="R23" i="1"/>
  <c r="V23" i="1"/>
  <c r="E23" i="1"/>
  <c r="E25" i="1" s="1"/>
  <c r="T23" i="1"/>
  <c r="Z23" i="1"/>
  <c r="Z25" i="1" s="1"/>
  <c r="AB23" i="1"/>
  <c r="AB25" i="1" s="1"/>
  <c r="B23" i="1"/>
  <c r="B25" i="1" s="1"/>
  <c r="O23" i="1"/>
  <c r="O25" i="1" s="1"/>
  <c r="AE23" i="1"/>
  <c r="AC23" i="1"/>
  <c r="AC25" i="1" s="1"/>
  <c r="H23" i="1"/>
  <c r="D23" i="1"/>
  <c r="D25" i="1" s="1"/>
  <c r="N23" i="1"/>
  <c r="T24" i="1"/>
  <c r="V24" i="1"/>
  <c r="W24" i="1"/>
  <c r="S24" i="1"/>
  <c r="R24" i="1"/>
  <c r="AH45" i="1"/>
  <c r="AH46" i="1" s="1"/>
  <c r="J25" i="1"/>
  <c r="J22" i="1"/>
  <c r="L22" i="1"/>
  <c r="D22" i="1"/>
  <c r="D26" i="1" s="1"/>
  <c r="W22" i="1"/>
  <c r="V22" i="1"/>
  <c r="AB22" i="1"/>
  <c r="AB26" i="1" s="1"/>
  <c r="X22" i="1"/>
  <c r="M25" i="1"/>
  <c r="M22" i="1"/>
  <c r="K22" i="1"/>
  <c r="C22" i="1"/>
  <c r="C26" i="1" s="1"/>
  <c r="Z22" i="1"/>
  <c r="Z26" i="1" s="1"/>
  <c r="AC22" i="1"/>
  <c r="AC26" i="1" s="1"/>
  <c r="AA65" i="1"/>
  <c r="AB65" i="1"/>
  <c r="K65" i="1"/>
  <c r="L65" i="1"/>
  <c r="W65" i="1"/>
  <c r="J67" i="1"/>
  <c r="J18" i="1" s="1"/>
  <c r="G65" i="1"/>
  <c r="AB67" i="1"/>
  <c r="AB18" i="1" s="1"/>
  <c r="AA67" i="1"/>
  <c r="AA18" i="1" s="1"/>
  <c r="N65" i="1"/>
  <c r="H67" i="1"/>
  <c r="H18" i="1" s="1"/>
  <c r="R65" i="1"/>
  <c r="Y65" i="1"/>
  <c r="H65" i="1"/>
  <c r="P65" i="1"/>
  <c r="X67" i="1"/>
  <c r="F65" i="1"/>
  <c r="L67" i="1"/>
  <c r="Y67" i="1"/>
  <c r="V65" i="1"/>
  <c r="C65" i="1"/>
  <c r="K67" i="1"/>
  <c r="K18" i="1" s="1"/>
  <c r="Z67" i="1"/>
  <c r="B65" i="1"/>
  <c r="I65" i="1"/>
  <c r="Z65" i="1"/>
  <c r="S65" i="1"/>
  <c r="Q65" i="1"/>
  <c r="J65" i="1"/>
  <c r="D67" i="1"/>
  <c r="D18" i="1" s="1"/>
  <c r="X65" i="1"/>
  <c r="I67" i="1"/>
  <c r="I18" i="1" s="1"/>
  <c r="O67" i="1"/>
  <c r="B67" i="1"/>
  <c r="B18" i="1" s="1"/>
  <c r="E67" i="1"/>
  <c r="E18" i="1" s="1"/>
  <c r="P67" i="1"/>
  <c r="M65" i="1"/>
  <c r="AC65" i="1"/>
  <c r="O65" i="1"/>
  <c r="F67" i="1"/>
  <c r="F18" i="1" s="1"/>
  <c r="D65" i="1"/>
  <c r="AC67" i="1"/>
  <c r="AC18" i="1" s="1"/>
  <c r="G67" i="1"/>
  <c r="G18" i="1" s="1"/>
  <c r="U65" i="1"/>
  <c r="C67" i="1"/>
  <c r="C18" i="1" s="1"/>
  <c r="N67" i="1"/>
  <c r="M67" i="1"/>
  <c r="Q67" i="1"/>
  <c r="E65" i="1"/>
  <c r="T65" i="1"/>
  <c r="U22" i="1"/>
  <c r="U25" i="1"/>
  <c r="G22" i="1"/>
  <c r="G26" i="1" s="1"/>
  <c r="G25" i="1"/>
  <c r="S22" i="1"/>
  <c r="AA25" i="1"/>
  <c r="AA22" i="1"/>
  <c r="AA26" i="1" s="1"/>
  <c r="O22" i="1"/>
  <c r="O26" i="1" s="1"/>
  <c r="P25" i="1"/>
  <c r="P22" i="1"/>
  <c r="N25" i="1"/>
  <c r="N22" i="1"/>
  <c r="N26" i="1" s="1"/>
  <c r="Y22" i="1"/>
  <c r="Y26" i="1" s="1"/>
  <c r="R25" i="1"/>
  <c r="R22" i="1"/>
  <c r="E22" i="1"/>
  <c r="B22" i="1"/>
  <c r="B26" i="1" s="1"/>
  <c r="T22" i="1"/>
  <c r="Q22" i="1"/>
  <c r="I22" i="1"/>
  <c r="I26" i="1" s="1"/>
  <c r="H22" i="1"/>
  <c r="H26" i="1" s="1"/>
  <c r="H25" i="1"/>
  <c r="F22" i="1"/>
  <c r="F26" i="1" s="1"/>
  <c r="I22" i="6" l="1"/>
  <c r="L25" i="6"/>
  <c r="J25" i="6"/>
  <c r="F25" i="6"/>
  <c r="F27" i="6" s="1"/>
  <c r="H22" i="6"/>
  <c r="J22" i="6"/>
  <c r="E25" i="6"/>
  <c r="M25" i="6"/>
  <c r="B28" i="6" s="1"/>
  <c r="L22" i="6"/>
  <c r="V25" i="1"/>
  <c r="W25" i="1"/>
  <c r="T25" i="1"/>
  <c r="T27" i="1" s="1"/>
  <c r="N28" i="6"/>
  <c r="G22" i="6"/>
  <c r="C22" i="6"/>
  <c r="C25" i="6"/>
  <c r="C27" i="6" s="1"/>
  <c r="J28" i="6"/>
  <c r="H27" i="6"/>
  <c r="B27" i="6"/>
  <c r="K28" i="6"/>
  <c r="I27" i="6"/>
  <c r="I28" i="6"/>
  <c r="G27" i="6"/>
  <c r="D27" i="6"/>
  <c r="F28" i="6"/>
  <c r="J27" i="6"/>
  <c r="L28" i="6"/>
  <c r="K27" i="6"/>
  <c r="M28" i="6"/>
  <c r="L27" i="6"/>
  <c r="E27" i="1"/>
  <c r="G28" i="1"/>
  <c r="Z28" i="1"/>
  <c r="X27" i="1"/>
  <c r="D28" i="1"/>
  <c r="B27" i="1"/>
  <c r="W28" i="1"/>
  <c r="U27" i="1"/>
  <c r="T28" i="1"/>
  <c r="R27" i="1"/>
  <c r="AB27" i="1"/>
  <c r="C28" i="1"/>
  <c r="H28" i="1"/>
  <c r="F27" i="1"/>
  <c r="Y27" i="1"/>
  <c r="AA28" i="1"/>
  <c r="X28" i="1"/>
  <c r="V27" i="1"/>
  <c r="H27" i="1"/>
  <c r="J28" i="1"/>
  <c r="P28" i="1"/>
  <c r="N27" i="1"/>
  <c r="AC28" i="1"/>
  <c r="AC27" i="1"/>
  <c r="Y28" i="1"/>
  <c r="W27" i="1"/>
  <c r="S27" i="1"/>
  <c r="U28" i="1"/>
  <c r="I27" i="1"/>
  <c r="K28" i="1"/>
  <c r="P27" i="1"/>
  <c r="R28" i="1"/>
  <c r="Z27" i="1"/>
  <c r="AB28" i="1"/>
  <c r="F28" i="1"/>
  <c r="D27" i="1"/>
  <c r="Q27" i="1"/>
  <c r="S28" i="1"/>
  <c r="G27" i="1"/>
  <c r="I28" i="1"/>
  <c r="Q28" i="1"/>
  <c r="O27" i="1"/>
  <c r="E28" i="1"/>
  <c r="C27" i="1"/>
  <c r="N28" i="1"/>
  <c r="L27" i="1"/>
  <c r="O28" i="1"/>
  <c r="M27" i="1"/>
  <c r="V28" i="1"/>
  <c r="AA27" i="1"/>
  <c r="B28" i="1"/>
  <c r="M28" i="1"/>
  <c r="K27" i="1"/>
  <c r="J27" i="1"/>
  <c r="L28" i="1"/>
  <c r="H28" i="6" l="1"/>
  <c r="G28" i="6"/>
  <c r="M27" i="6"/>
  <c r="C28" i="6"/>
  <c r="D28" i="6"/>
  <c r="E27" i="6"/>
  <c r="E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G34" authorId="0" shapeId="0" xr:uid="{00000000-0006-0000-0200-000002000000}">
      <text>
        <r>
          <rPr>
            <b/>
            <sz val="8"/>
            <color indexed="81"/>
            <rFont val="Tahoma"/>
            <family val="2"/>
          </rPr>
          <t>michael.fleetwood:</t>
        </r>
        <r>
          <rPr>
            <sz val="8"/>
            <color indexed="81"/>
            <rFont val="Tahoma"/>
            <family val="2"/>
          </rPr>
          <t xml:space="preserve">
Need an error element to this formula so we don’t divide by Zero. (Built into the excel math below)</t>
        </r>
      </text>
    </comment>
    <comment ref="AH42" authorId="0" shapeId="0" xr:uid="{00000000-0006-0000-0200-000003000000}">
      <text>
        <r>
          <rPr>
            <b/>
            <sz val="8"/>
            <color indexed="81"/>
            <rFont val="Tahoma"/>
            <family val="2"/>
          </rPr>
          <t>michael.fleetwood:</t>
        </r>
        <r>
          <rPr>
            <sz val="8"/>
            <color indexed="81"/>
            <rFont val="Tahoma"/>
            <family val="2"/>
          </rPr>
          <t xml:space="preserve">
Type the Actual on-hand number here to see the Deficit Component below</t>
        </r>
      </text>
    </comment>
    <comment ref="A64" authorId="1" shapeId="0" xr:uid="{00000000-0006-0000-0200-000004000000}">
      <text>
        <r>
          <rPr>
            <sz val="8"/>
            <color indexed="81"/>
            <rFont val="Tahoma"/>
            <family val="2"/>
          </rPr>
          <t>1 Standard Deviation based on performance Standard</t>
        </r>
      </text>
    </comment>
    <comment ref="A65" authorId="1" shapeId="0" xr:uid="{00000000-0006-0000-0200-000005000000}">
      <text>
        <r>
          <rPr>
            <sz val="8"/>
            <color indexed="81"/>
            <rFont val="Tahoma"/>
            <family val="2"/>
          </rPr>
          <t>.5 Standard Deviation based on performance Standard</t>
        </r>
      </text>
    </comment>
    <comment ref="E86" authorId="2" shapeId="0" xr:uid="{00000000-0006-0000-0200-000006000000}">
      <text>
        <r>
          <rPr>
            <b/>
            <sz val="8"/>
            <color indexed="81"/>
            <rFont val="Tahoma"/>
            <family val="2"/>
          </rPr>
          <t>russell.w.scott:</t>
        </r>
        <r>
          <rPr>
            <sz val="8"/>
            <color indexed="81"/>
            <rFont val="Tahoma"/>
            <family val="2"/>
          </rPr>
          <t xml:space="preserve">
SFARP</t>
        </r>
      </text>
    </comment>
    <comment ref="J86" authorId="2" shapeId="0" xr:uid="{00000000-0006-0000-0200-000007000000}">
      <text>
        <r>
          <rPr>
            <b/>
            <sz val="8"/>
            <color indexed="81"/>
            <rFont val="Tahoma"/>
            <family val="2"/>
          </rPr>
          <t>russell.w.scott:</t>
        </r>
        <r>
          <rPr>
            <sz val="8"/>
            <color indexed="81"/>
            <rFont val="Tahoma"/>
            <family val="2"/>
          </rPr>
          <t xml:space="preserve">
TSTA/FEP</t>
        </r>
      </text>
    </comment>
    <comment ref="K86" authorId="2" shapeId="0" xr:uid="{00000000-0006-0000-0200-000008000000}">
      <text>
        <r>
          <rPr>
            <b/>
            <sz val="8"/>
            <color indexed="81"/>
            <rFont val="Tahoma"/>
            <family val="2"/>
          </rPr>
          <t>russell.w.scott:</t>
        </r>
        <r>
          <rPr>
            <sz val="8"/>
            <color indexed="81"/>
            <rFont val="Tahoma"/>
            <family val="2"/>
          </rPr>
          <t xml:space="preserve">
C2X/Fallon</t>
        </r>
      </text>
    </comment>
    <comment ref="L86" authorId="2" shapeId="0" xr:uid="{00000000-0006-0000-0200-000009000000}">
      <text>
        <r>
          <rPr>
            <b/>
            <sz val="8"/>
            <color indexed="81"/>
            <rFont val="Tahoma"/>
            <family val="2"/>
          </rPr>
          <t>russell.w.scott:</t>
        </r>
        <r>
          <rPr>
            <sz val="8"/>
            <color indexed="81"/>
            <rFont val="Tahoma"/>
            <family val="2"/>
          </rPr>
          <t xml:space="preserve">
C2X/Fallon</t>
        </r>
      </text>
    </comment>
    <comment ref="M86" authorId="2" shapeId="0" xr:uid="{00000000-0006-0000-0200-00000A000000}">
      <text>
        <r>
          <rPr>
            <b/>
            <sz val="8"/>
            <color indexed="81"/>
            <rFont val="Tahoma"/>
            <family val="2"/>
          </rPr>
          <t>russell.w.scott:</t>
        </r>
        <r>
          <rPr>
            <sz val="8"/>
            <color indexed="81"/>
            <rFont val="Tahoma"/>
            <family val="2"/>
          </rPr>
          <t xml:space="preserve">
C2X/Fallon</t>
        </r>
      </text>
    </comment>
    <comment ref="P86" authorId="2" shapeId="0" xr:uid="{00000000-0006-0000-0200-00000B000000}">
      <text>
        <r>
          <rPr>
            <b/>
            <sz val="8"/>
            <color indexed="81"/>
            <rFont val="Tahoma"/>
            <family val="2"/>
          </rPr>
          <t>russell.w.scott:</t>
        </r>
        <r>
          <rPr>
            <sz val="8"/>
            <color indexed="81"/>
            <rFont val="Tahoma"/>
            <family val="2"/>
          </rPr>
          <t xml:space="preserve">
Pre-deployment at sea sustainment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s>
  <commentList>
    <comment ref="A30"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P35" authorId="0" shapeId="0" xr:uid="{00000000-0006-0000-0300-000002000000}">
      <text>
        <r>
          <rPr>
            <b/>
            <sz val="8"/>
            <color indexed="81"/>
            <rFont val="Tahoma"/>
            <family val="2"/>
          </rPr>
          <t>michael.fleetwood:</t>
        </r>
        <r>
          <rPr>
            <sz val="8"/>
            <color indexed="81"/>
            <rFont val="Tahoma"/>
            <family val="2"/>
          </rPr>
          <t xml:space="preserve">
Need an error element to this formula so we don’t divide by Zero. (Built into the excel math below)</t>
        </r>
      </text>
    </comment>
    <comment ref="Q43" authorId="0" shapeId="0" xr:uid="{00000000-0006-0000-0300-000003000000}">
      <text>
        <r>
          <rPr>
            <b/>
            <sz val="8"/>
            <color indexed="81"/>
            <rFont val="Tahoma"/>
            <family val="2"/>
          </rPr>
          <t>michael.fleetwood:</t>
        </r>
        <r>
          <rPr>
            <sz val="8"/>
            <color indexed="81"/>
            <rFont val="Tahoma"/>
            <family val="2"/>
          </rPr>
          <t xml:space="preserve">
Type the Actual on-hand number here to see the Deficit Component below</t>
        </r>
      </text>
    </comment>
    <comment ref="A50" authorId="0" shapeId="0" xr:uid="{00000000-0006-0000-0300-000004000000}">
      <text>
        <r>
          <rPr>
            <b/>
            <sz val="8"/>
            <color indexed="81"/>
            <rFont val="Tahoma"/>
            <family val="2"/>
          </rPr>
          <t>michael.fleetwood:</t>
        </r>
        <r>
          <rPr>
            <sz val="8"/>
            <color indexed="81"/>
            <rFont val="Tahoma"/>
            <family val="2"/>
          </rPr>
          <t xml:space="preserve">
Calculated.. May need to be revised</t>
        </r>
      </text>
    </comment>
    <comment ref="A64" authorId="1" shapeId="0" xr:uid="{00000000-0006-0000-0300-000005000000}">
      <text>
        <r>
          <rPr>
            <sz val="8"/>
            <color indexed="81"/>
            <rFont val="Tahoma"/>
            <family val="2"/>
          </rPr>
          <t>1 Standard Deviation based on performance Standard</t>
        </r>
      </text>
    </comment>
    <comment ref="A65" authorId="1" shapeId="0" xr:uid="{00000000-0006-0000-0300-000006000000}">
      <text>
        <r>
          <rPr>
            <sz val="8"/>
            <color indexed="81"/>
            <rFont val="Tahoma"/>
            <family val="2"/>
          </rPr>
          <t>.5 Standard Deviation based on performance Standard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5" authorId="0" shapeId="0" xr:uid="{00000000-0006-0000-07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5" authorId="0" shapeId="0" xr:uid="{00000000-0006-0000-07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61" authorId="0" shapeId="0" xr:uid="{00000000-0006-0000-07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<sst xmlns="http://schemas.openxmlformats.org/spreadsheetml/2006/main" count="598" uniqueCount="300">
  <si>
    <t>Standard Name</t>
  </si>
  <si>
    <t>ID</t>
  </si>
  <si>
    <t>Rev</t>
  </si>
  <si>
    <t>AMFOM</t>
  </si>
  <si>
    <t>Definitions</t>
  </si>
  <si>
    <t>Note:  'NEW' Standards are less than 90 Days old</t>
  </si>
  <si>
    <t>Date</t>
  </si>
  <si>
    <t>Standard</t>
  </si>
  <si>
    <t>Change Summary</t>
  </si>
  <si>
    <t>All</t>
  </si>
  <si>
    <t>Initial DRRS-N Based Standards</t>
  </si>
  <si>
    <t>VRC C-2A 2-ACFT DRRS</t>
  </si>
  <si>
    <t>Updated FRS Entitlements</t>
  </si>
  <si>
    <t>Added Simulator Support Hours</t>
  </si>
  <si>
    <t>VRC C-2A FDNF DRRS(U)</t>
  </si>
  <si>
    <t>Changed Ashore MESH from 11.7 to 6.7 per VAW/VRC Wing</t>
  </si>
  <si>
    <t>Removed Required Onboard Crews line
Added AMFOM Standards</t>
  </si>
  <si>
    <t>Removed Aircrew positions not described in the T&amp;R</t>
  </si>
  <si>
    <t>Updated ATR Profile</t>
  </si>
  <si>
    <t>Changed POM and PDL RBA and Mission System requirements to match a typical Sustain month per Air Boss Direction</t>
  </si>
  <si>
    <t>Removed RBA/RFT and associated logic - Added Flightline % and  MC % Logic</t>
  </si>
  <si>
    <t>Added EOC L code: Ready IMC Flight Mission Systems (L), set equal to MC Standard</t>
  </si>
  <si>
    <t>FRS Standards moved to unique tab</t>
  </si>
  <si>
    <t>Updated AMFOM Standards to remove RBA and replace with MC and added EOC (L)</t>
  </si>
  <si>
    <t>VRC C-2A Mission Systems, All Standards</t>
  </si>
  <si>
    <t>MESM updated - EOC D and F swapped (EOC (D) now 'Ready Adv Navigation Mission Systems', EOC (F) now 'Ready Adv Communication Systems'.  EOC J renamed: 'Ready Basic Support Mission Systems'</t>
  </si>
  <si>
    <t>Navy C-2A TMS Reduced NTA to Mission System Map</t>
  </si>
  <si>
    <t xml:space="preserve">Updated per CACCLW </t>
  </si>
  <si>
    <t>Legacy NTA Matrix</t>
  </si>
  <si>
    <t>Deleted</t>
  </si>
  <si>
    <t>All CVW (not FDNF)</t>
  </si>
  <si>
    <t>Changed R+10 to Adanced Phase</t>
  </si>
  <si>
    <t>CVW FDNF</t>
  </si>
  <si>
    <t>Updated R+10-12 to 'Sustain'</t>
  </si>
  <si>
    <t>Updated to include FMC and Mission System values from ARC-N</t>
  </si>
  <si>
    <t>Updated 100% T&amp;R and Sim Fidelity</t>
  </si>
  <si>
    <t>Readiness Standards VRC C-2A  2-ACFT Det</t>
  </si>
  <si>
    <t>Inventory</t>
  </si>
  <si>
    <t>Rev:</t>
  </si>
  <si>
    <t>ID:</t>
  </si>
  <si>
    <t>PAA =</t>
  </si>
  <si>
    <t>Crew/Seat Ratio=</t>
  </si>
  <si>
    <t>Crews=</t>
  </si>
  <si>
    <t>ESL=</t>
  </si>
  <si>
    <t>100% T&amp;R Matrix=</t>
  </si>
  <si>
    <t>100% Training Hours=</t>
  </si>
  <si>
    <t>100% Training Sorties=</t>
  </si>
  <si>
    <t>Ashore Support Hours=</t>
  </si>
  <si>
    <t>Per Crew</t>
  </si>
  <si>
    <t>Tactical Hard Deck =</t>
  </si>
  <si>
    <t>Afloat Support Hours=</t>
  </si>
  <si>
    <t>Sim Fidelity %=</t>
  </si>
  <si>
    <t>Simulator Support Hours=</t>
  </si>
  <si>
    <t>FRTP Mode</t>
  </si>
  <si>
    <t>Maintenance</t>
  </si>
  <si>
    <t>Basic</t>
  </si>
  <si>
    <t>Advanced</t>
  </si>
  <si>
    <t>Integrated</t>
  </si>
  <si>
    <t xml:space="preserve">Sustain </t>
  </si>
  <si>
    <t>Deploy</t>
  </si>
  <si>
    <t>Tactical Hard Deck</t>
  </si>
  <si>
    <t>R+Month</t>
  </si>
  <si>
    <t>R+1</t>
  </si>
  <si>
    <t>R+2</t>
  </si>
  <si>
    <t>R+3</t>
  </si>
  <si>
    <t>R+4</t>
  </si>
  <si>
    <t xml:space="preserve">R+5 </t>
  </si>
  <si>
    <t xml:space="preserve">R+6 </t>
  </si>
  <si>
    <t xml:space="preserve">R+7 </t>
  </si>
  <si>
    <t xml:space="preserve">R+8 </t>
  </si>
  <si>
    <t xml:space="preserve">R+9 </t>
  </si>
  <si>
    <t xml:space="preserve">R+10 </t>
  </si>
  <si>
    <t xml:space="preserve">R+11 </t>
  </si>
  <si>
    <t xml:space="preserve">R+12 </t>
  </si>
  <si>
    <t>R+13</t>
  </si>
  <si>
    <t>R+14</t>
  </si>
  <si>
    <t>R+15</t>
  </si>
  <si>
    <t>POM</t>
  </si>
  <si>
    <t>D+1</t>
  </si>
  <si>
    <t>D+2</t>
  </si>
  <si>
    <t>D+3</t>
  </si>
  <si>
    <t>D+4</t>
  </si>
  <si>
    <t>D+5</t>
  </si>
  <si>
    <t>D+6</t>
  </si>
  <si>
    <t>PDL</t>
  </si>
  <si>
    <t>R+24</t>
  </si>
  <si>
    <t>R+25</t>
  </si>
  <si>
    <t>R+26</t>
  </si>
  <si>
    <t>R+27</t>
  </si>
  <si>
    <t>R+28</t>
  </si>
  <si>
    <t>A+1</t>
  </si>
  <si>
    <t>A+1A</t>
  </si>
  <si>
    <t>FRTP</t>
  </si>
  <si>
    <t>Mission</t>
  </si>
  <si>
    <t>Unit Level Trng &amp; Depot Maint</t>
  </si>
  <si>
    <t>ARP to TSTA III</t>
  </si>
  <si>
    <t>C2X to FLN</t>
  </si>
  <si>
    <t>Deployment</t>
  </si>
  <si>
    <t>Sustain</t>
  </si>
  <si>
    <t>THD</t>
  </si>
  <si>
    <t>ULT</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</si>
  <si>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</si>
  <si>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</si>
  <si>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</si>
  <si>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</si>
  <si>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</si>
  <si>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</si>
  <si>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</si>
  <si>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</si>
  <si>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</si>
  <si>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</si>
  <si>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</si>
  <si>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</si>
  <si>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</si>
  <si>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</si>
  <si>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</si>
  <si>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</si>
  <si>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</si>
  <si>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 %</t>
  </si>
  <si>
    <t xml:space="preserve">Tank Deficit Formula: </t>
  </si>
  <si>
    <t>Tank Defict Component = (Tank Deficts / Tank Entitlment) * RBA Ent</t>
  </si>
  <si>
    <t>Flightline Standard</t>
  </si>
  <si>
    <t>MC Standard</t>
  </si>
  <si>
    <t>Ext Range Tank Deficit Formula</t>
  </si>
  <si>
    <t>FMC Standard</t>
  </si>
  <si>
    <t>Integrated Mission Systems</t>
  </si>
  <si>
    <t>Ready C-2A Full Spectrum Support Equipment (C)</t>
  </si>
  <si>
    <t>Ready C-2A Adv Navigation Mission Systems (D)</t>
  </si>
  <si>
    <t>Ready C-2A Adv Communication Systems (F)</t>
  </si>
  <si>
    <t>Tank Ent:</t>
  </si>
  <si>
    <t>Ready C-2A Basic Support Mission Systems (J)</t>
  </si>
  <si>
    <t>Actual:</t>
  </si>
  <si>
    <t>Ready C-2A Shipboard Mission Systems (K)</t>
  </si>
  <si>
    <t>Deficit:</t>
  </si>
  <si>
    <t>Ready C-2A IMC Flight Mission Systems (L)</t>
  </si>
  <si>
    <t>RFT Ent:</t>
  </si>
  <si>
    <t>Non-Integrated Mission Systems</t>
  </si>
  <si>
    <t>Component:</t>
  </si>
  <si>
    <t>Assigned Extended Range Tanks</t>
  </si>
  <si>
    <t>RFT:</t>
  </si>
  <si>
    <t>Ready Extended Range Tanks</t>
  </si>
  <si>
    <t>Aircrew Manning and Crews</t>
  </si>
  <si>
    <t>Pilot Upper Limit</t>
  </si>
  <si>
    <t>Pilot Lower Limit</t>
  </si>
  <si>
    <t>Aircrewman Upper Limit</t>
  </si>
  <si>
    <t>Aircrewman Lower Limit</t>
  </si>
  <si>
    <t>Notes:</t>
  </si>
  <si>
    <t>1.  Tank Deficit Formula: Tank Defict Component = (Tank Deficts / Tank Entitlment) * RBA Ent</t>
  </si>
  <si>
    <t>2.  Crew Composition: 1 CTPC (ACTC Lvl 3), 1 Copilot (ACTC Lvl 1 or 2), 1 AW (ACTC Lvl 4), 1 AW (ACTC Lvl 3)</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</si>
  <si>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</si>
  <si>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</si>
  <si>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</si>
  <si>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</si>
  <si>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</si>
  <si>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</si>
  <si>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</si>
  <si>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</si>
  <si>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</si>
  <si>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</si>
  <si>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</si>
  <si>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&gt; L3 Pilots</t>
  </si>
  <si>
    <t>&gt; L1 Pilots</t>
  </si>
  <si>
    <t>&gt; L4 Aircrewman</t>
  </si>
  <si>
    <t>&gt; L3 Aircrewman</t>
  </si>
  <si>
    <t># Skilled Crews</t>
  </si>
  <si>
    <t>Monthly Variable Hours Assignments</t>
  </si>
  <si>
    <t>Simulator Replacement Month</t>
  </si>
  <si>
    <t>X</t>
  </si>
  <si>
    <t>Afloat Support Hours Assignment</t>
  </si>
  <si>
    <t>DRRS-N E-Pillar Break Points</t>
  </si>
  <si>
    <t>Green</t>
  </si>
  <si>
    <t>Yellow</t>
  </si>
  <si>
    <t>Red</t>
  </si>
  <si>
    <t>Aircraft</t>
  </si>
  <si>
    <t>Top</t>
  </si>
  <si>
    <t>In Reporting</t>
  </si>
  <si>
    <t>Mission Capable Aircraft (MC)</t>
  </si>
  <si>
    <t>FMC and Mission System Utilization Rates</t>
  </si>
  <si>
    <t>VRC 2PAA v220921</t>
  </si>
  <si>
    <t>FMC % of MC</t>
  </si>
  <si>
    <t>Readiness Standards VRC C-2A FDNF</t>
  </si>
  <si>
    <t>R+5</t>
  </si>
  <si>
    <t>R+9</t>
  </si>
  <si>
    <t>R+10</t>
  </si>
  <si>
    <t>R+11</t>
  </si>
  <si>
    <t>R+12</t>
  </si>
  <si>
    <t>Select a Month</t>
  </si>
  <si>
    <t>Deficit Component:</t>
  </si>
  <si>
    <t>&gt;= L3 Pilot</t>
  </si>
  <si>
    <t>&gt;= L1 Pilot</t>
  </si>
  <si>
    <t>&gt;= L4 Aircrewman</t>
  </si>
  <si>
    <t>&gt;= L3 Aircrewman</t>
  </si>
  <si>
    <t>Percent Funding for Flying Hours</t>
  </si>
  <si>
    <t>SORTS Average M-Rating</t>
  </si>
  <si>
    <t>Calculated TFOM Readiness for CVW</t>
  </si>
  <si>
    <t>DRRS Conversion directly from SORTS</t>
  </si>
  <si>
    <t>Conversion numbers for SORTS to DRRS to Drive Manning</t>
  </si>
  <si>
    <t>Readiness Standards VRC C-2A FRS</t>
  </si>
  <si>
    <t>C-2A</t>
  </si>
  <si>
    <t>VAW-120 PAA =</t>
  </si>
  <si>
    <t>FRS</t>
  </si>
  <si>
    <t>A-1</t>
  </si>
  <si>
    <t>NA</t>
  </si>
  <si>
    <t>VAW-120</t>
  </si>
  <si>
    <t>Squadron Manning</t>
  </si>
  <si>
    <t>Overall Rating Fill</t>
  </si>
  <si>
    <t>Overall Rating Fit</t>
  </si>
  <si>
    <t>Overall NEC Fit</t>
  </si>
  <si>
    <t>Mission Systems</t>
  </si>
  <si>
    <t>Navy C-2A TMS Reduced MET to Mission System Map</t>
  </si>
  <si>
    <t>Ready Full Spectrum Support Equipment (C)</t>
  </si>
  <si>
    <t>Ready Adv Navigation Mission Systems (D)</t>
  </si>
  <si>
    <t>Ready Adv Communication Systems (F)</t>
  </si>
  <si>
    <t>Ready Basic Support Mission Systems (J)</t>
  </si>
  <si>
    <t>Ready Shipboard Mission Systems (K)</t>
  </si>
  <si>
    <t>Ready IMC Flight Mission Systems (L)</t>
  </si>
  <si>
    <t>MISSION ESSENTIAL TASKS</t>
  </si>
  <si>
    <t>NTA 1.1.2.3.3</t>
  </si>
  <si>
    <t>Conduct Flight Operations</t>
  </si>
  <si>
    <t>NTA 1.1.2.4</t>
  </si>
  <si>
    <t>Conduct Tactical Insertion and Extraction</t>
  </si>
  <si>
    <t>NTA 4.5.4</t>
  </si>
  <si>
    <t>Transport Personnel and Cargo</t>
  </si>
  <si>
    <t>NTA 4.6.7</t>
  </si>
  <si>
    <t>Provide COD/VOD Delivery</t>
  </si>
  <si>
    <t xml:space="preserve"> </t>
  </si>
  <si>
    <t>NTA 6.2</t>
  </si>
  <si>
    <t>Rescue and Recover</t>
  </si>
  <si>
    <t>C-2A Mission System Utilization per Flight Task</t>
  </si>
  <si>
    <t>Tab Inventory</t>
  </si>
  <si>
    <t>Mission System Groups VRC C-2A</t>
  </si>
  <si>
    <t>** MESM:</t>
  </si>
  <si>
    <t>Integrated Aircraft Mission Systems Configuration</t>
  </si>
  <si>
    <t>COMMUNITY</t>
  </si>
  <si>
    <t>TMS AFFECTED</t>
  </si>
  <si>
    <t>Mission System Group</t>
  </si>
  <si>
    <t xml:space="preserve">COMPONENTS/SYSTEMS/ MESM CODES </t>
  </si>
  <si>
    <t>VRC</t>
  </si>
  <si>
    <t>EXTENDED RANGE FUEL SYSTEM</t>
  </si>
  <si>
    <t>LITTER SYSTEM</t>
  </si>
  <si>
    <t>ROLLER RAIL SYSTEM</t>
  </si>
  <si>
    <t>STATIC LINE ANCHOR ASSEMBLY</t>
  </si>
  <si>
    <t>AWICS</t>
  </si>
  <si>
    <t>TREADWAYS (2 OF 2)</t>
  </si>
  <si>
    <t>AUXILIARY POWER UNIT (APU)</t>
  </si>
  <si>
    <t>AUXILIARY POWER UNIT (APU) FIRE WARNING AND EXTINGUISHING SYSTEMS</t>
  </si>
  <si>
    <t>ACLS (ASW-25)</t>
  </si>
  <si>
    <t>AN/ARA-63 (AACS)</t>
  </si>
  <si>
    <t>AFCS (FULLY OPERABLE)</t>
  </si>
  <si>
    <t>MAGNETOMETER</t>
  </si>
  <si>
    <t>ARC-210 (SATCOM)</t>
  </si>
  <si>
    <t>HF COMMUNICATION</t>
  </si>
  <si>
    <t>LF/ADF</t>
  </si>
  <si>
    <t>UHF/ADF</t>
  </si>
  <si>
    <t>AIRCRAFT PRESSURIZATION</t>
  </si>
  <si>
    <t>AFT ICS (1 OF 2 REQUIRED)</t>
  </si>
  <si>
    <t>CARGO RESTRAINT EQUIOPMENT</t>
  </si>
  <si>
    <t>CSFIRS (UNIT FAILURE)</t>
  </si>
  <si>
    <t>PASSENGER OXYGEN SYSTEM</t>
  </si>
  <si>
    <t>PASSENGER SEATS AND HARDWARE</t>
  </si>
  <si>
    <t>PUBLIC ADDRESS SYSTEM</t>
  </si>
  <si>
    <t>RAMP SYSTEM (DOES NOT INCLUDE EMERG. RAMP ACTUATING SYSTEM)</t>
  </si>
  <si>
    <t>INSTRUMENT PANEL "G" METER/SDRS</t>
  </si>
  <si>
    <t>TAWS</t>
  </si>
  <si>
    <t>TCAS</t>
  </si>
  <si>
    <t>TREADWAYS (1 OF 2 REQUIRED)</t>
  </si>
  <si>
    <t>WX RADAR (PAX PROHIBITED IN IMC)</t>
  </si>
  <si>
    <t>APPROACH LIGHTS/AOA SYSTEM</t>
  </si>
  <si>
    <t>ARC-210 SECURE VOICE</t>
  </si>
  <si>
    <t>IFF (MODE 2 OR 4 FAILURE)</t>
  </si>
  <si>
    <t>SINS CV ALIGN SYSTEM (ARC-210 COMM2 REQ'D FOR RF)</t>
  </si>
  <si>
    <t>STRUT EXTEND SYSTEM</t>
  </si>
  <si>
    <t>TACAN</t>
  </si>
  <si>
    <t>TOW LINK SYSTEM</t>
  </si>
  <si>
    <t>WING FOLD SYSTEM</t>
  </si>
  <si>
    <t>ARC-210 (COMM 2)</t>
  </si>
  <si>
    <t>ANTI-/DE-ICE SYSTEM</t>
  </si>
  <si>
    <t>CABIN/COCKPIT LIGHTING</t>
  </si>
  <si>
    <t>CONTROL INDICATOR (CDU-7000) (1 OF 2 FAILED)</t>
  </si>
  <si>
    <t>DISPLAY CONTROL PANEL (CP-255K) (1 OF 2 FAILED)</t>
  </si>
  <si>
    <t>ELECTRONIC STANDBY INDICATOR (ESI (1 OF 2 FAILED)</t>
  </si>
  <si>
    <t>EMBEDDED GPS/INS (EGI) (1 OF 2 FAILED</t>
  </si>
  <si>
    <t>EQUIPMENT COOLING SYSTEM</t>
  </si>
  <si>
    <t>EXTERNAL LIGHTS</t>
  </si>
  <si>
    <t>IFF (MODE 3, C, S)</t>
  </si>
  <si>
    <t>ILS RECEIVER/MARKER BEACON</t>
  </si>
  <si>
    <t>MULTIFUNCTION DISPLAY (MFD-268 (1 OF 2 FAILED)</t>
  </si>
  <si>
    <t>OAT</t>
  </si>
  <si>
    <t>RADAR ALTIMETER</t>
  </si>
  <si>
    <t>CLOCK (2 OF 2 FAILED)</t>
  </si>
  <si>
    <t>WINDSHIELD WIPERS</t>
  </si>
  <si>
    <t>WEATHER RADAR</t>
  </si>
  <si>
    <t>See Definitions Tab</t>
  </si>
  <si>
    <t>Non-Integrated Mission Systems (INVENTORY ITEMS)</t>
  </si>
  <si>
    <t>Mission Systems TOOLS TITLES</t>
  </si>
  <si>
    <t>CONFIGURATIONS THAT APPLY</t>
  </si>
  <si>
    <t>** See the MESM for full details</t>
  </si>
  <si>
    <t>Item</t>
  </si>
  <si>
    <t>Definition</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</si>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</sst>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_);_(* \(#,##0\);_(* &quot;-&quot;??_);_(@_)"/>
    <numFmt numFmtId="167" formatCode="[$-409]d\-mmm\-yy;@"/>
    <numFmt numFmtId="168" formatCode="0.0%"/>
    <numFmt numFmtId="169" formatCode="0.000"/>
  </numFmts>
  <fonts count="60" x14ac:knownFonts="1">
    <font>
      <sz val="10"/>
      <name val="Arial"/>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b/>
      <sz val="14"/>
      <name val="Calibri"/>
      <family val="2"/>
    </font>
    <font>
      <sz val="14"/>
      <name val="Calibri"/>
      <family val="2"/>
    </font>
    <font>
      <sz val="9"/>
      <name val="Calibri"/>
      <family val="2"/>
    </font>
    <font>
      <b/>
      <i/>
      <sz val="10"/>
      <name val="Calibri"/>
      <family val="2"/>
    </font>
    <font>
      <sz val="8"/>
      <name val="Calibri"/>
      <family val="2"/>
    </font>
    <font>
      <b/>
      <i/>
      <sz val="9"/>
      <name val="Calibri"/>
      <family val="2"/>
    </font>
    <font>
      <sz val="10"/>
      <name val="Courier New"/>
      <family val="3"/>
    </font>
    <font>
      <sz val="9"/>
      <color indexed="8"/>
      <name val="Calibri"/>
      <family val="2"/>
    </font>
    <font>
      <b/>
      <sz val="9"/>
      <name val="Calibri"/>
      <family val="2"/>
    </font>
    <font>
      <b/>
      <sz val="8"/>
      <color indexed="12"/>
      <name val="Calibri"/>
      <family val="2"/>
    </font>
    <font>
      <i/>
      <sz val="9"/>
      <name val="Calibri"/>
      <family val="2"/>
    </font>
    <font>
      <sz val="10"/>
      <name val="Calibri"/>
      <family val="2"/>
    </font>
    <font>
      <sz val="9"/>
      <color indexed="22"/>
      <name val="Calibri"/>
      <family val="2"/>
    </font>
    <font>
      <sz val="8"/>
      <name val="Arial"/>
      <family val="2"/>
    </font>
    <font>
      <sz val="9"/>
      <name val="Calibri"/>
      <family val="2"/>
      <scheme val="minor"/>
    </font>
    <font>
      <sz val="8"/>
      <name val="Calibri"/>
      <family val="2"/>
      <scheme val="minor"/>
    </font>
    <font>
      <b/>
      <i/>
      <sz val="10"/>
      <name val="Calibri"/>
      <family val="2"/>
      <scheme val="minor"/>
    </font>
    <font>
      <b/>
      <sz val="14"/>
      <name val="Calibri"/>
      <family val="2"/>
      <scheme val="minor"/>
    </font>
    <font>
      <sz val="14"/>
      <name val="Calibri"/>
      <family val="2"/>
      <scheme val="minor"/>
    </font>
    <font>
      <sz val="8"/>
      <color indexed="55"/>
      <name val="Calibri"/>
      <family val="2"/>
      <scheme val="minor"/>
    </font>
    <font>
      <sz val="9"/>
      <color indexed="55"/>
      <name val="Calibri"/>
      <family val="2"/>
      <scheme val="minor"/>
    </font>
    <font>
      <sz val="9"/>
      <color indexed="8"/>
      <name val="Calibri"/>
      <family val="2"/>
      <scheme val="minor"/>
    </font>
    <font>
      <b/>
      <i/>
      <sz val="9"/>
      <name val="Calibri"/>
      <family val="2"/>
      <scheme val="minor"/>
    </font>
    <font>
      <b/>
      <sz val="9"/>
      <name val="Calibri"/>
      <family val="2"/>
      <scheme val="minor"/>
    </font>
    <font>
      <b/>
      <sz val="8"/>
      <color indexed="12"/>
      <name val="Calibri"/>
      <family val="2"/>
      <scheme val="minor"/>
    </font>
    <font>
      <u/>
      <sz val="10"/>
      <color theme="10"/>
      <name val="Calibri"/>
      <family val="2"/>
    </font>
    <font>
      <u/>
      <sz val="10"/>
      <color theme="10"/>
      <name val="Calibri"/>
      <family val="2"/>
      <scheme val="minor"/>
    </font>
    <font>
      <u/>
      <sz val="11"/>
      <color theme="10"/>
      <name val="Calibri"/>
      <family val="2"/>
      <scheme val="minor"/>
    </font>
    <font>
      <sz val="11"/>
      <name val="Calibri"/>
      <family val="2"/>
      <scheme val="minor"/>
    </font>
    <font>
      <b/>
      <i/>
      <sz val="11"/>
      <color rgb="FF00CC00"/>
      <name val="Calibri"/>
      <family val="2"/>
      <scheme val="minor"/>
    </font>
    <font>
      <b/>
      <i/>
      <sz val="11"/>
      <color theme="1"/>
      <name val="Calibri"/>
      <family val="2"/>
      <scheme val="minor"/>
    </font>
    <font>
      <b/>
      <i/>
      <sz val="11"/>
      <name val="Calibri"/>
      <family val="2"/>
      <scheme val="minor"/>
    </font>
    <font>
      <b/>
      <sz val="11"/>
      <name val="Calibri"/>
      <family val="2"/>
      <scheme val="minor"/>
    </font>
    <font>
      <sz val="8"/>
      <name val="Courier New"/>
      <family val="3"/>
    </font>
    <font>
      <b/>
      <sz val="10"/>
      <name val="Arial"/>
      <family val="2"/>
    </font>
    <font>
      <b/>
      <sz val="8"/>
      <name val="Arial"/>
      <family val="2"/>
    </font>
    <font>
      <sz val="8"/>
      <color indexed="8"/>
      <name val="Arial"/>
      <family val="2"/>
    </font>
    <font>
      <u/>
      <sz val="10"/>
      <color theme="10"/>
      <name val="Arial"/>
      <family val="2"/>
    </font>
    <font>
      <sz val="12"/>
      <name val="Calibri"/>
      <family val="2"/>
      <scheme val="minor"/>
    </font>
    <font>
      <b/>
      <sz val="12"/>
      <name val="Calibri"/>
      <family val="2"/>
      <scheme val="minor"/>
    </font>
    <font>
      <b/>
      <sz val="8"/>
      <name val="Calibri"/>
      <family val="2"/>
      <scheme val="minor"/>
    </font>
    <font>
      <b/>
      <sz val="10"/>
      <name val="Calibri"/>
      <family val="2"/>
      <scheme val="minor"/>
    </font>
    <font>
      <b/>
      <sz val="8"/>
      <color indexed="55"/>
      <name val="Calibri"/>
      <family val="2"/>
      <scheme val="minor"/>
    </font>
    <font>
      <sz val="10"/>
      <name val="Calibri"/>
      <family val="2"/>
      <scheme val="minor"/>
    </font>
    <font>
      <u/>
      <sz val="11"/>
      <color theme="10"/>
      <name val="Calibri"/>
      <family val="2"/>
    </font>
    <font>
      <u/>
      <sz val="14"/>
      <color theme="10"/>
      <name val="Calibri"/>
      <family val="2"/>
      <scheme val="minor"/>
    </font>
    <font>
      <b/>
      <sz val="16"/>
      <name val="Calibri"/>
      <family val="2"/>
      <scheme val="minor"/>
    </font>
    <font>
      <u/>
      <sz val="10"/>
      <color indexed="12"/>
      <name val="Arial"/>
      <family val="2"/>
    </font>
    <font>
      <u/>
      <sz val="10"/>
      <color indexed="12"/>
      <name val="Calibri"/>
      <family val="2"/>
      <scheme val="minor"/>
    </font>
    <font>
      <b/>
      <sz val="12"/>
      <color theme="1"/>
      <name val="Calibri"/>
      <family val="2"/>
      <scheme val="minor"/>
    </font>
    <font>
      <b/>
      <sz val="12"/>
      <name val="Arial"/>
      <family val="2"/>
    </font>
    <font>
      <b/>
      <sz val="14"/>
      <name val="Arial"/>
      <family val="2"/>
    </font>
    <font>
      <b/>
      <sz val="10"/>
      <color indexed="8"/>
      <name val="Arial"/>
      <family val="2"/>
    </font>
    <font>
      <b/>
      <sz val="10"/>
      <color theme="1"/>
      <name val="Arial"/>
      <family val="2"/>
    </font>
  </fonts>
  <fills count="1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55"/>
        <bgColor indexed="64"/>
      </patternFill>
    </fill>
    <fill>
      <patternFill patternType="solid">
        <fgColor theme="0" tint="-0.249977111117893"/>
        <bgColor indexed="64"/>
      </patternFill>
    </fill>
    <fill>
      <patternFill patternType="solid">
        <fgColor rgb="FFFFCC99"/>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theme="0" tint="-0.14999847407452621"/>
        <bgColor indexed="64"/>
      </patternFill>
    </fill>
    <fill>
      <patternFill patternType="solid">
        <fgColor theme="9"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26">
    <xf numFmtId="0" fontId="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2" fillId="0" borderId="0"/>
    <xf numFmtId="0" fontId="2" fillId="2" borderId="1">
      <alignment horizontal="center" textRotation="90"/>
    </xf>
    <xf numFmtId="0" fontId="2" fillId="0" borderId="0">
      <alignment textRotation="90"/>
    </xf>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50" fillId="0" borderId="0" applyNumberFormat="0" applyFill="0" applyBorder="0" applyAlignment="0" applyProtection="0">
      <alignment vertical="top"/>
      <protection locked="0"/>
    </xf>
    <xf numFmtId="0" fontId="2" fillId="0" borderId="0"/>
    <xf numFmtId="0" fontId="1" fillId="0" borderId="0"/>
    <xf numFmtId="0" fontId="2" fillId="0" borderId="0"/>
    <xf numFmtId="0" fontId="2" fillId="0" borderId="0"/>
    <xf numFmtId="3" fontId="2" fillId="0" borderId="0"/>
    <xf numFmtId="0" fontId="2" fillId="0" borderId="0"/>
    <xf numFmtId="0" fontId="43" fillId="0" borderId="0" applyNumberFormat="0" applyFill="0" applyBorder="0" applyAlignment="0" applyProtection="0">
      <alignment vertical="top"/>
      <protection locked="0"/>
    </xf>
    <xf numFmtId="0" fontId="1" fillId="0" borderId="0"/>
    <xf numFmtId="0" fontId="5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 fillId="0" borderId="0"/>
  </cellStyleXfs>
  <cellXfs count="609">
    <xf numFmtId="0" fontId="0" fillId="0" borderId="0" xfId="0"/>
    <xf numFmtId="0" fontId="6" fillId="0" borderId="0" xfId="3" applyFont="1" applyFill="1" applyAlignment="1">
      <alignment horizontal="right"/>
    </xf>
    <xf numFmtId="164" fontId="8" fillId="0" borderId="0" xfId="3" applyNumberFormat="1" applyFont="1" applyFill="1" applyBorder="1" applyAlignment="1">
      <alignment horizontal="center"/>
    </xf>
    <xf numFmtId="0" fontId="10" fillId="3" borderId="0" xfId="3" applyFont="1" applyFill="1"/>
    <xf numFmtId="0" fontId="10" fillId="0" borderId="0" xfId="3" applyFont="1"/>
    <xf numFmtId="0" fontId="8" fillId="0" borderId="0" xfId="3" applyFont="1"/>
    <xf numFmtId="2" fontId="8" fillId="0" borderId="0" xfId="3" applyNumberFormat="1" applyFont="1"/>
    <xf numFmtId="2" fontId="8" fillId="0" borderId="0" xfId="3" applyNumberFormat="1" applyFont="1" applyBorder="1" applyAlignment="1">
      <alignment horizontal="center"/>
    </xf>
    <xf numFmtId="0" fontId="10" fillId="0" borderId="0" xfId="3" applyFont="1" applyBorder="1"/>
    <xf numFmtId="0" fontId="16" fillId="3" borderId="0" xfId="0" applyFont="1" applyFill="1" applyProtection="1">
      <protection locked="0"/>
    </xf>
    <xf numFmtId="0" fontId="18" fillId="3" borderId="0" xfId="0" applyFont="1" applyFill="1" applyProtection="1">
      <protection locked="0"/>
    </xf>
    <xf numFmtId="0" fontId="18" fillId="0" borderId="0" xfId="0" applyFont="1" applyProtection="1">
      <protection locked="0"/>
    </xf>
    <xf numFmtId="0" fontId="17" fillId="0" borderId="0" xfId="0" applyFont="1" applyFill="1"/>
    <xf numFmtId="0" fontId="10" fillId="8" borderId="16" xfId="3" applyFont="1" applyFill="1" applyBorder="1" applyAlignment="1">
      <alignment horizontal="right"/>
    </xf>
    <xf numFmtId="2" fontId="15" fillId="8" borderId="17" xfId="3" applyNumberFormat="1" applyFont="1" applyFill="1" applyBorder="1" applyAlignment="1">
      <alignment horizontal="right"/>
    </xf>
    <xf numFmtId="0" fontId="10" fillId="8" borderId="13" xfId="3" applyFont="1" applyFill="1" applyBorder="1" applyAlignment="1">
      <alignment horizontal="right"/>
    </xf>
    <xf numFmtId="2" fontId="15" fillId="8" borderId="14" xfId="3" applyNumberFormat="1" applyFont="1" applyFill="1" applyBorder="1" applyAlignment="1">
      <alignment horizontal="right"/>
    </xf>
    <xf numFmtId="0" fontId="20" fillId="0" borderId="1" xfId="6" applyFont="1" applyFill="1" applyBorder="1" applyAlignment="1" applyProtection="1">
      <alignment horizontal="left" vertical="center"/>
    </xf>
    <xf numFmtId="1" fontId="10" fillId="3" borderId="0" xfId="0" applyNumberFormat="1" applyFont="1" applyFill="1" applyProtection="1"/>
    <xf numFmtId="0" fontId="10" fillId="3" borderId="0" xfId="0" applyFont="1" applyFill="1" applyAlignment="1" applyProtection="1">
      <alignment horizontal="right"/>
    </xf>
    <xf numFmtId="164" fontId="10" fillId="3" borderId="0" xfId="0" applyNumberFormat="1" applyFont="1" applyFill="1" applyProtection="1"/>
    <xf numFmtId="0" fontId="10" fillId="3" borderId="0" xfId="0" quotePrefix="1" applyFont="1" applyFill="1" applyAlignment="1" applyProtection="1">
      <alignment horizontal="right"/>
    </xf>
    <xf numFmtId="164" fontId="10" fillId="0" borderId="0" xfId="0" applyNumberFormat="1" applyFont="1" applyFill="1" applyProtection="1"/>
    <xf numFmtId="0" fontId="10" fillId="0" borderId="0" xfId="0" applyFont="1" applyFill="1" applyProtection="1"/>
    <xf numFmtId="9" fontId="10" fillId="0" borderId="0" xfId="0" applyNumberFormat="1" applyFont="1" applyFill="1" applyProtection="1"/>
    <xf numFmtId="164" fontId="21" fillId="3" borderId="0" xfId="4" applyNumberFormat="1" applyFont="1" applyFill="1" applyAlignment="1" applyProtection="1">
      <alignment horizontal="right"/>
    </xf>
    <xf numFmtId="168" fontId="21" fillId="3" borderId="0" xfId="12" applyNumberFormat="1" applyFont="1" applyFill="1" applyAlignment="1" applyProtection="1">
      <alignment horizontal="center"/>
    </xf>
    <xf numFmtId="164" fontId="21" fillId="3" borderId="0" xfId="12" applyNumberFormat="1" applyFont="1" applyFill="1" applyAlignment="1" applyProtection="1">
      <alignment horizontal="right"/>
    </xf>
    <xf numFmtId="0" fontId="20" fillId="3" borderId="1" xfId="4" applyFont="1" applyFill="1" applyBorder="1" applyAlignment="1" applyProtection="1">
      <alignment horizontal="center" textRotation="90" wrapText="1"/>
    </xf>
    <xf numFmtId="0" fontId="20" fillId="0" borderId="1" xfId="4" applyFont="1" applyBorder="1" applyAlignment="1" applyProtection="1">
      <alignment horizontal="center"/>
    </xf>
    <xf numFmtId="0" fontId="9" fillId="0" borderId="15" xfId="4" applyFont="1" applyFill="1" applyBorder="1" applyProtection="1"/>
    <xf numFmtId="164" fontId="8" fillId="0" borderId="15" xfId="3" applyNumberFormat="1" applyFont="1" applyFill="1" applyBorder="1" applyAlignment="1" applyProtection="1">
      <alignment horizontal="center"/>
    </xf>
    <xf numFmtId="164" fontId="8" fillId="0" borderId="0" xfId="3" applyNumberFormat="1" applyFont="1" applyFill="1" applyBorder="1" applyAlignment="1" applyProtection="1">
      <alignment horizontal="center"/>
    </xf>
    <xf numFmtId="0" fontId="20" fillId="0" borderId="8" xfId="4" applyFont="1" applyBorder="1" applyProtection="1"/>
    <xf numFmtId="0" fontId="20" fillId="0" borderId="1" xfId="4" applyFont="1" applyBorder="1" applyAlignment="1" applyProtection="1">
      <alignment horizontal="left"/>
    </xf>
    <xf numFmtId="2" fontId="20" fillId="0" borderId="1" xfId="4" applyNumberFormat="1" applyFont="1" applyFill="1" applyBorder="1" applyAlignment="1" applyProtection="1">
      <alignment horizontal="center"/>
    </xf>
    <xf numFmtId="0" fontId="20" fillId="0" borderId="1" xfId="4" applyFont="1" applyBorder="1" applyProtection="1"/>
    <xf numFmtId="9" fontId="20" fillId="0" borderId="1" xfId="9" applyFont="1" applyFill="1" applyBorder="1" applyAlignment="1" applyProtection="1">
      <alignment horizontal="center"/>
    </xf>
    <xf numFmtId="1" fontId="20" fillId="0" borderId="1" xfId="1" applyNumberFormat="1" applyFont="1" applyFill="1" applyBorder="1" applyAlignment="1" applyProtection="1">
      <alignment horizontal="center"/>
    </xf>
    <xf numFmtId="165" fontId="20" fillId="0" borderId="1" xfId="1" applyNumberFormat="1" applyFont="1" applyFill="1" applyBorder="1" applyAlignment="1" applyProtection="1">
      <alignment horizontal="center"/>
    </xf>
    <xf numFmtId="165" fontId="20" fillId="3" borderId="1" xfId="11" applyNumberFormat="1" applyFont="1" applyFill="1" applyBorder="1" applyAlignment="1" applyProtection="1">
      <alignment horizontal="center"/>
    </xf>
    <xf numFmtId="165" fontId="20" fillId="9" borderId="1" xfId="11" applyNumberFormat="1" applyFont="1" applyFill="1" applyBorder="1" applyAlignment="1" applyProtection="1">
      <alignment horizontal="center"/>
    </xf>
    <xf numFmtId="165" fontId="20" fillId="0" borderId="5" xfId="1" applyNumberFormat="1" applyFont="1" applyFill="1" applyBorder="1" applyAlignment="1" applyProtection="1">
      <alignment horizontal="center"/>
    </xf>
    <xf numFmtId="165" fontId="8" fillId="0" borderId="1" xfId="2" applyNumberFormat="1" applyFont="1" applyFill="1" applyBorder="1" applyAlignment="1" applyProtection="1">
      <alignment horizontal="center"/>
    </xf>
    <xf numFmtId="165" fontId="8" fillId="0" borderId="3" xfId="2" applyNumberFormat="1" applyFont="1" applyFill="1" applyBorder="1" applyAlignment="1" applyProtection="1">
      <alignment horizontal="center"/>
    </xf>
    <xf numFmtId="0" fontId="9" fillId="0" borderId="3" xfId="3" applyFont="1" applyFill="1" applyBorder="1" applyProtection="1"/>
    <xf numFmtId="0" fontId="20" fillId="0" borderId="8" xfId="4" applyFont="1" applyFill="1" applyBorder="1" applyProtection="1"/>
    <xf numFmtId="0" fontId="13" fillId="0" borderId="1" xfId="3" applyFont="1" applyFill="1" applyBorder="1" applyAlignment="1" applyProtection="1">
      <alignment horizontal="center"/>
    </xf>
    <xf numFmtId="0" fontId="24" fillId="3" borderId="0" xfId="3" applyFont="1" applyFill="1" applyProtection="1"/>
    <xf numFmtId="0" fontId="23" fillId="3" borderId="0" xfId="3" applyFont="1" applyFill="1" applyBorder="1" applyAlignment="1" applyProtection="1"/>
    <xf numFmtId="0" fontId="23" fillId="0" borderId="0" xfId="3" applyFont="1" applyFill="1" applyAlignment="1" applyProtection="1">
      <alignment horizontal="right"/>
    </xf>
    <xf numFmtId="0" fontId="21" fillId="3" borderId="0" xfId="0" applyFont="1" applyFill="1" applyAlignment="1" applyProtection="1">
      <alignment horizontal="right"/>
    </xf>
    <xf numFmtId="1" fontId="21" fillId="3" borderId="0" xfId="0" applyNumberFormat="1" applyFont="1" applyFill="1" applyProtection="1"/>
    <xf numFmtId="164" fontId="21" fillId="3" borderId="0" xfId="0" applyNumberFormat="1" applyFont="1" applyFill="1" applyProtection="1"/>
    <xf numFmtId="164" fontId="21" fillId="3" borderId="0" xfId="3" applyNumberFormat="1" applyFont="1" applyFill="1" applyProtection="1"/>
    <xf numFmtId="0" fontId="20" fillId="3" borderId="0" xfId="3" applyFont="1" applyFill="1" applyProtection="1"/>
    <xf numFmtId="164" fontId="21" fillId="0" borderId="0" xfId="3" applyNumberFormat="1" applyFont="1" applyFill="1" applyProtection="1"/>
    <xf numFmtId="0" fontId="21" fillId="0" borderId="0" xfId="3" applyFont="1" applyFill="1" applyProtection="1"/>
    <xf numFmtId="0" fontId="20" fillId="0" borderId="0" xfId="3" applyFont="1" applyFill="1" applyProtection="1"/>
    <xf numFmtId="169" fontId="21" fillId="3" borderId="0" xfId="3" applyNumberFormat="1" applyFont="1" applyFill="1" applyProtection="1"/>
    <xf numFmtId="164" fontId="20" fillId="0" borderId="0" xfId="3" applyNumberFormat="1" applyFont="1" applyFill="1" applyProtection="1"/>
    <xf numFmtId="164" fontId="21" fillId="3" borderId="0" xfId="0" quotePrefix="1" applyNumberFormat="1" applyFont="1" applyFill="1" applyProtection="1"/>
    <xf numFmtId="0" fontId="21" fillId="3" borderId="0" xfId="0" quotePrefix="1" applyFont="1" applyFill="1" applyAlignment="1" applyProtection="1">
      <alignment horizontal="right"/>
    </xf>
    <xf numFmtId="0" fontId="21" fillId="3" borderId="0" xfId="0" applyFont="1" applyFill="1" applyProtection="1"/>
    <xf numFmtId="0" fontId="21" fillId="3" borderId="0" xfId="3" applyFont="1" applyFill="1" applyProtection="1"/>
    <xf numFmtId="164" fontId="21" fillId="0" borderId="0" xfId="0" applyNumberFormat="1" applyFont="1" applyFill="1" applyProtection="1"/>
    <xf numFmtId="9" fontId="20" fillId="0" borderId="0" xfId="3" applyNumberFormat="1" applyFont="1" applyFill="1" applyProtection="1"/>
    <xf numFmtId="9" fontId="20" fillId="3" borderId="0" xfId="3" applyNumberFormat="1" applyFont="1" applyFill="1" applyProtection="1"/>
    <xf numFmtId="43" fontId="20" fillId="0" borderId="0" xfId="2" applyFont="1" applyFill="1" applyProtection="1"/>
    <xf numFmtId="0" fontId="20" fillId="0" borderId="1" xfId="3" applyFont="1" applyFill="1" applyBorder="1" applyAlignment="1" applyProtection="1">
      <alignment horizontal="right"/>
    </xf>
    <xf numFmtId="0" fontId="20" fillId="3" borderId="1" xfId="3" applyFont="1" applyFill="1" applyBorder="1" applyAlignment="1" applyProtection="1">
      <alignment horizontal="center" textRotation="90"/>
    </xf>
    <xf numFmtId="0" fontId="20" fillId="3" borderId="0" xfId="3" applyFont="1" applyFill="1" applyAlignment="1" applyProtection="1">
      <alignment horizontal="center"/>
    </xf>
    <xf numFmtId="0" fontId="20" fillId="3" borderId="1" xfId="5" applyFont="1" applyFill="1" applyBorder="1" applyAlignment="1" applyProtection="1">
      <alignment horizontal="center"/>
    </xf>
    <xf numFmtId="0" fontId="22" fillId="0" borderId="15" xfId="4" applyFont="1" applyFill="1" applyBorder="1" applyProtection="1"/>
    <xf numFmtId="164" fontId="20" fillId="0" borderId="15" xfId="3" applyNumberFormat="1" applyFont="1" applyFill="1" applyBorder="1" applyAlignment="1" applyProtection="1">
      <alignment horizontal="center"/>
    </xf>
    <xf numFmtId="164" fontId="20" fillId="0" borderId="0" xfId="3" applyNumberFormat="1" applyFont="1" applyFill="1" applyBorder="1" applyAlignment="1" applyProtection="1">
      <alignment horizontal="center"/>
    </xf>
    <xf numFmtId="9" fontId="21" fillId="0" borderId="0" xfId="9" applyFont="1" applyProtection="1"/>
    <xf numFmtId="0" fontId="21" fillId="0" borderId="0" xfId="3" applyFont="1" applyProtection="1"/>
    <xf numFmtId="9" fontId="20" fillId="3" borderId="1" xfId="9" applyFont="1" applyFill="1" applyBorder="1" applyAlignment="1" applyProtection="1">
      <alignment horizontal="center"/>
    </xf>
    <xf numFmtId="165" fontId="20" fillId="0" borderId="1" xfId="2" applyNumberFormat="1" applyFont="1" applyFill="1" applyBorder="1" applyAlignment="1" applyProtection="1">
      <alignment horizontal="center"/>
    </xf>
    <xf numFmtId="9" fontId="20" fillId="0" borderId="3" xfId="10" applyFont="1" applyFill="1" applyBorder="1" applyAlignment="1" applyProtection="1">
      <alignment horizontal="center"/>
    </xf>
    <xf numFmtId="9" fontId="20" fillId="0" borderId="4" xfId="10" applyFont="1" applyFill="1" applyBorder="1" applyAlignment="1" applyProtection="1">
      <alignment horizontal="center"/>
    </xf>
    <xf numFmtId="0" fontId="25" fillId="3" borderId="0" xfId="3" applyFont="1" applyFill="1" applyProtection="1"/>
    <xf numFmtId="0" fontId="25" fillId="0" borderId="0" xfId="3" applyFont="1" applyProtection="1"/>
    <xf numFmtId="9" fontId="20" fillId="0" borderId="1" xfId="10" applyFont="1" applyFill="1" applyBorder="1" applyAlignment="1" applyProtection="1">
      <alignment horizontal="center"/>
    </xf>
    <xf numFmtId="9" fontId="20" fillId="0" borderId="7" xfId="10" applyFont="1" applyFill="1" applyBorder="1" applyAlignment="1" applyProtection="1">
      <alignment horizontal="center"/>
    </xf>
    <xf numFmtId="0" fontId="26" fillId="3" borderId="0" xfId="3" applyFont="1" applyFill="1" applyProtection="1"/>
    <xf numFmtId="0" fontId="26" fillId="0" borderId="0" xfId="3" applyFont="1" applyProtection="1"/>
    <xf numFmtId="2" fontId="20" fillId="0" borderId="1" xfId="3" applyNumberFormat="1" applyFont="1" applyFill="1" applyBorder="1" applyAlignment="1" applyProtection="1">
      <alignment horizontal="center"/>
    </xf>
    <xf numFmtId="0" fontId="20" fillId="0" borderId="0" xfId="3" applyFont="1" applyProtection="1"/>
    <xf numFmtId="0" fontId="20" fillId="0" borderId="3" xfId="0" applyFont="1" applyFill="1" applyBorder="1" applyProtection="1"/>
    <xf numFmtId="2" fontId="20" fillId="0" borderId="1" xfId="0" applyNumberFormat="1" applyFont="1" applyFill="1" applyBorder="1" applyAlignment="1" applyProtection="1">
      <alignment horizontal="center"/>
    </xf>
    <xf numFmtId="0" fontId="21" fillId="0" borderId="0" xfId="0" applyFont="1" applyFill="1" applyAlignment="1" applyProtection="1">
      <alignment horizontal="right"/>
    </xf>
    <xf numFmtId="0" fontId="21" fillId="0" borderId="0" xfId="0" quotePrefix="1" applyFont="1" applyFill="1" applyProtection="1"/>
    <xf numFmtId="0" fontId="21" fillId="0" borderId="0" xfId="0" applyFont="1" applyProtection="1"/>
    <xf numFmtId="2" fontId="20" fillId="0" borderId="7" xfId="0" applyNumberFormat="1" applyFont="1" applyFill="1" applyBorder="1" applyAlignment="1" applyProtection="1">
      <alignment horizontal="center"/>
    </xf>
    <xf numFmtId="166" fontId="21" fillId="0" borderId="0" xfId="1" applyNumberFormat="1" applyFont="1" applyFill="1" applyBorder="1" applyAlignment="1" applyProtection="1"/>
    <xf numFmtId="0" fontId="21" fillId="4" borderId="1" xfId="0" applyFont="1" applyFill="1" applyBorder="1" applyAlignment="1" applyProtection="1">
      <alignment horizontal="right"/>
    </xf>
    <xf numFmtId="2" fontId="21" fillId="4" borderId="2" xfId="0" applyNumberFormat="1" applyFont="1" applyFill="1" applyBorder="1" applyProtection="1"/>
    <xf numFmtId="0" fontId="21" fillId="2" borderId="1" xfId="0" applyFont="1" applyFill="1" applyBorder="1" applyAlignment="1" applyProtection="1">
      <alignment horizontal="right"/>
    </xf>
    <xf numFmtId="2" fontId="21" fillId="2" borderId="1" xfId="0" applyNumberFormat="1" applyFont="1" applyFill="1" applyBorder="1" applyProtection="1"/>
    <xf numFmtId="0" fontId="22" fillId="0" borderId="3" xfId="4" applyFont="1" applyFill="1" applyBorder="1" applyProtection="1"/>
    <xf numFmtId="0" fontId="20" fillId="0" borderId="3" xfId="3" applyFont="1" applyFill="1" applyBorder="1" applyAlignment="1" applyProtection="1">
      <alignment horizontal="center"/>
    </xf>
    <xf numFmtId="0" fontId="20" fillId="0" borderId="4" xfId="3" applyFont="1" applyFill="1" applyBorder="1" applyAlignment="1" applyProtection="1">
      <alignment horizontal="center"/>
    </xf>
    <xf numFmtId="0" fontId="21" fillId="0" borderId="5" xfId="0" applyFont="1" applyFill="1" applyBorder="1" applyAlignment="1" applyProtection="1">
      <alignment horizontal="right"/>
    </xf>
    <xf numFmtId="2" fontId="21" fillId="3" borderId="1" xfId="0" applyNumberFormat="1" applyFont="1" applyFill="1" applyBorder="1" applyProtection="1"/>
    <xf numFmtId="0" fontId="20" fillId="0" borderId="1" xfId="3" applyFont="1" applyFill="1" applyBorder="1" applyProtection="1"/>
    <xf numFmtId="1" fontId="20" fillId="0" borderId="5" xfId="3" applyNumberFormat="1" applyFont="1" applyFill="1" applyBorder="1" applyAlignment="1" applyProtection="1">
      <alignment horizontal="center"/>
    </xf>
    <xf numFmtId="0" fontId="21" fillId="4" borderId="1" xfId="0" applyFont="1" applyFill="1" applyBorder="1" applyProtection="1"/>
    <xf numFmtId="1" fontId="20" fillId="0" borderId="1" xfId="3" applyNumberFormat="1" applyFont="1" applyFill="1" applyBorder="1" applyAlignment="1" applyProtection="1">
      <alignment horizontal="center"/>
    </xf>
    <xf numFmtId="0" fontId="21" fillId="5" borderId="1" xfId="0" applyFont="1" applyFill="1" applyBorder="1" applyAlignment="1" applyProtection="1">
      <alignment horizontal="right"/>
    </xf>
    <xf numFmtId="0" fontId="21" fillId="5" borderId="1" xfId="0" applyFont="1" applyFill="1" applyBorder="1" applyProtection="1"/>
    <xf numFmtId="0" fontId="21" fillId="6" borderId="1" xfId="0" applyFont="1" applyFill="1" applyBorder="1" applyAlignment="1" applyProtection="1">
      <alignment horizontal="right"/>
    </xf>
    <xf numFmtId="2" fontId="21" fillId="6" borderId="1" xfId="0" applyNumberFormat="1" applyFont="1" applyFill="1" applyBorder="1" applyProtection="1"/>
    <xf numFmtId="0" fontId="27" fillId="0" borderId="1" xfId="3" applyFont="1" applyFill="1" applyBorder="1" applyAlignment="1" applyProtection="1">
      <alignment horizontal="center"/>
    </xf>
    <xf numFmtId="0" fontId="20" fillId="3" borderId="0" xfId="3" applyFont="1" applyFill="1" applyBorder="1" applyProtection="1"/>
    <xf numFmtId="0" fontId="20" fillId="0" borderId="0" xfId="3" applyFont="1" applyBorder="1" applyAlignment="1" applyProtection="1">
      <alignment horizontal="center"/>
    </xf>
    <xf numFmtId="0" fontId="20" fillId="0" borderId="0" xfId="3" applyFont="1" applyBorder="1" applyProtection="1"/>
    <xf numFmtId="0" fontId="20" fillId="0" borderId="0" xfId="3" applyFont="1" applyFill="1" applyBorder="1" applyAlignment="1" applyProtection="1">
      <alignment horizontal="center"/>
    </xf>
    <xf numFmtId="0" fontId="21" fillId="3" borderId="0" xfId="3" applyFont="1" applyFill="1" applyBorder="1" applyProtection="1"/>
    <xf numFmtId="0" fontId="28" fillId="8" borderId="16" xfId="3" applyFont="1" applyFill="1" applyBorder="1" applyAlignment="1" applyProtection="1">
      <alignment horizontal="right"/>
    </xf>
    <xf numFmtId="2" fontId="20" fillId="8" borderId="5" xfId="3" applyNumberFormat="1" applyFont="1" applyFill="1" applyBorder="1" applyAlignment="1" applyProtection="1">
      <alignment horizontal="center"/>
    </xf>
    <xf numFmtId="2" fontId="20" fillId="8" borderId="17" xfId="3" applyNumberFormat="1" applyFont="1" applyFill="1" applyBorder="1" applyAlignment="1" applyProtection="1">
      <alignment horizontal="center"/>
    </xf>
    <xf numFmtId="2" fontId="20" fillId="8" borderId="28" xfId="4" applyNumberFormat="1" applyFont="1" applyFill="1" applyBorder="1" applyAlignment="1" applyProtection="1">
      <alignment horizontal="center"/>
    </xf>
    <xf numFmtId="0" fontId="28" fillId="8" borderId="18" xfId="3" applyFont="1" applyFill="1" applyBorder="1" applyAlignment="1" applyProtection="1">
      <alignment horizontal="right"/>
    </xf>
    <xf numFmtId="2" fontId="20" fillId="8" borderId="1" xfId="3" applyNumberFormat="1" applyFont="1" applyFill="1" applyBorder="1" applyAlignment="1" applyProtection="1">
      <alignment horizontal="center"/>
    </xf>
    <xf numFmtId="2" fontId="20" fillId="8" borderId="19" xfId="3" applyNumberFormat="1" applyFont="1" applyFill="1" applyBorder="1" applyAlignment="1" applyProtection="1">
      <alignment horizontal="center"/>
    </xf>
    <xf numFmtId="2" fontId="20" fillId="8" borderId="29" xfId="4" applyNumberFormat="1" applyFont="1" applyFill="1" applyBorder="1" applyAlignment="1" applyProtection="1">
      <alignment horizontal="center"/>
    </xf>
    <xf numFmtId="0" fontId="28" fillId="8" borderId="13" xfId="3" applyFont="1" applyFill="1" applyBorder="1" applyAlignment="1" applyProtection="1">
      <alignment horizontal="right"/>
    </xf>
    <xf numFmtId="2" fontId="20" fillId="8" borderId="20" xfId="3" applyNumberFormat="1" applyFont="1" applyFill="1" applyBorder="1" applyAlignment="1" applyProtection="1">
      <alignment horizontal="center"/>
    </xf>
    <xf numFmtId="2" fontId="20" fillId="8" borderId="14" xfId="3" applyNumberFormat="1" applyFont="1" applyFill="1" applyBorder="1" applyAlignment="1" applyProtection="1">
      <alignment horizontal="center"/>
    </xf>
    <xf numFmtId="2" fontId="20" fillId="8" borderId="30" xfId="4" applyNumberFormat="1" applyFont="1" applyFill="1" applyBorder="1" applyAlignment="1" applyProtection="1">
      <alignment horizontal="center"/>
    </xf>
    <xf numFmtId="0" fontId="21" fillId="8" borderId="13" xfId="3" applyFont="1" applyFill="1" applyBorder="1" applyAlignment="1" applyProtection="1">
      <alignment horizontal="right"/>
    </xf>
    <xf numFmtId="2" fontId="30" fillId="8" borderId="14" xfId="3" applyNumberFormat="1" applyFont="1" applyFill="1" applyBorder="1" applyAlignment="1" applyProtection="1">
      <alignment horizontal="right"/>
    </xf>
    <xf numFmtId="0" fontId="20" fillId="8" borderId="16" xfId="4" applyFont="1" applyFill="1" applyBorder="1" applyProtection="1"/>
    <xf numFmtId="1" fontId="27" fillId="8" borderId="17" xfId="4" applyNumberFormat="1" applyFont="1" applyFill="1" applyBorder="1" applyAlignment="1" applyProtection="1">
      <alignment horizontal="center"/>
    </xf>
    <xf numFmtId="0" fontId="21" fillId="0" borderId="0" xfId="3" applyFont="1" applyAlignment="1" applyProtection="1">
      <alignment horizontal="right"/>
    </xf>
    <xf numFmtId="1" fontId="21" fillId="0" borderId="0" xfId="3" applyNumberFormat="1" applyFont="1" applyProtection="1"/>
    <xf numFmtId="0" fontId="20" fillId="8" borderId="18" xfId="4" applyFont="1" applyFill="1" applyBorder="1" applyProtection="1"/>
    <xf numFmtId="0" fontId="27" fillId="8" borderId="19" xfId="4" applyFont="1" applyFill="1" applyBorder="1" applyAlignment="1" applyProtection="1">
      <alignment horizontal="center"/>
    </xf>
    <xf numFmtId="0" fontId="20" fillId="8" borderId="19" xfId="3" applyFont="1" applyFill="1" applyBorder="1" applyAlignment="1" applyProtection="1">
      <alignment horizontal="center"/>
    </xf>
    <xf numFmtId="0" fontId="20" fillId="8" borderId="13" xfId="3" applyFont="1" applyFill="1" applyBorder="1" applyProtection="1"/>
    <xf numFmtId="0" fontId="20" fillId="8" borderId="14" xfId="3" applyFont="1" applyFill="1" applyBorder="1" applyAlignment="1" applyProtection="1">
      <alignment horizontal="center"/>
    </xf>
    <xf numFmtId="0" fontId="20" fillId="0" borderId="0" xfId="4" applyFont="1" applyProtection="1"/>
    <xf numFmtId="0" fontId="20" fillId="8" borderId="11" xfId="4" applyFont="1" applyFill="1" applyBorder="1" applyAlignment="1" applyProtection="1">
      <alignment horizontal="right"/>
    </xf>
    <xf numFmtId="0" fontId="20" fillId="8" borderId="26" xfId="4" applyFont="1" applyFill="1" applyBorder="1" applyAlignment="1" applyProtection="1">
      <alignment horizontal="center"/>
    </xf>
    <xf numFmtId="0" fontId="20" fillId="8" borderId="13" xfId="4" applyFont="1" applyFill="1" applyBorder="1" applyAlignment="1" applyProtection="1">
      <alignment horizontal="right"/>
    </xf>
    <xf numFmtId="0" fontId="20" fillId="8" borderId="20" xfId="4" applyFont="1" applyFill="1" applyBorder="1" applyAlignment="1" applyProtection="1">
      <alignment horizontal="center"/>
    </xf>
    <xf numFmtId="2" fontId="29" fillId="8" borderId="1" xfId="4" applyNumberFormat="1" applyFont="1" applyFill="1" applyBorder="1" applyAlignment="1">
      <alignment horizontal="center"/>
    </xf>
    <xf numFmtId="2" fontId="29" fillId="8" borderId="3" xfId="4" applyNumberFormat="1" applyFont="1" applyFill="1" applyBorder="1" applyAlignment="1">
      <alignment horizontal="center"/>
    </xf>
    <xf numFmtId="2" fontId="29" fillId="8" borderId="29" xfId="4" applyNumberFormat="1" applyFont="1" applyFill="1" applyBorder="1" applyAlignment="1">
      <alignment horizontal="center"/>
    </xf>
    <xf numFmtId="0" fontId="35" fillId="0" borderId="0" xfId="3" applyFont="1"/>
    <xf numFmtId="0" fontId="34" fillId="0" borderId="0" xfId="0" applyFont="1"/>
    <xf numFmtId="0" fontId="34" fillId="0" borderId="18" xfId="0" applyFont="1" applyBorder="1"/>
    <xf numFmtId="0" fontId="36" fillId="0" borderId="0" xfId="0" applyFont="1"/>
    <xf numFmtId="0" fontId="36" fillId="0" borderId="7" xfId="0" applyFont="1" applyBorder="1" applyAlignment="1">
      <alignment horizontal="center"/>
    </xf>
    <xf numFmtId="0" fontId="38" fillId="0" borderId="0" xfId="0" applyFont="1" applyAlignment="1">
      <alignment horizontal="center" vertical="center"/>
    </xf>
    <xf numFmtId="0" fontId="38" fillId="0" borderId="0" xfId="0" applyFont="1" applyAlignment="1">
      <alignment horizontal="center"/>
    </xf>
    <xf numFmtId="15"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1" xfId="3" applyFont="1" applyBorder="1"/>
    <xf numFmtId="0" fontId="34" fillId="0" borderId="0" xfId="0" applyFont="1" applyAlignment="1">
      <alignment horizontal="center"/>
    </xf>
    <xf numFmtId="0" fontId="34" fillId="0" borderId="0" xfId="0" applyFont="1" applyAlignment="1">
      <alignment horizontal="center" vertical="center"/>
    </xf>
    <xf numFmtId="0" fontId="7" fillId="3" borderId="0" xfId="0" applyFont="1" applyFill="1" applyProtection="1">
      <protection locked="0"/>
    </xf>
    <xf numFmtId="0" fontId="31" fillId="3" borderId="0" xfId="14" applyFont="1" applyFill="1" applyAlignment="1" applyProtection="1">
      <protection locked="0"/>
    </xf>
    <xf numFmtId="15" fontId="6" fillId="3" borderId="0" xfId="0" applyNumberFormat="1" applyFont="1" applyFill="1" applyBorder="1" applyAlignment="1" applyProtection="1">
      <alignment horizontal="center"/>
      <protection locked="0"/>
    </xf>
    <xf numFmtId="0" fontId="6" fillId="3" borderId="0" xfId="0" applyFont="1" applyFill="1" applyBorder="1" applyAlignment="1" applyProtection="1">
      <alignment horizontal="center"/>
      <protection locked="0"/>
    </xf>
    <xf numFmtId="164" fontId="8" fillId="3" borderId="0" xfId="0" applyNumberFormat="1" applyFont="1" applyFill="1" applyProtection="1"/>
    <xf numFmtId="0" fontId="8" fillId="3" borderId="0" xfId="0" applyFont="1" applyFill="1" applyProtection="1"/>
    <xf numFmtId="0" fontId="8" fillId="3" borderId="0" xfId="0" applyFont="1" applyFill="1" applyProtection="1">
      <protection locked="0"/>
    </xf>
    <xf numFmtId="164" fontId="8" fillId="3" borderId="0" xfId="0" quotePrefix="1" applyNumberFormat="1" applyFont="1" applyFill="1" applyProtection="1"/>
    <xf numFmtId="164" fontId="10" fillId="3" borderId="0" xfId="4" applyNumberFormat="1" applyFont="1" applyFill="1" applyAlignment="1" applyProtection="1">
      <alignment horizontal="right"/>
    </xf>
    <xf numFmtId="168" fontId="10" fillId="3" borderId="0" xfId="12" applyNumberFormat="1" applyFont="1" applyFill="1" applyAlignment="1" applyProtection="1">
      <alignment horizontal="center"/>
    </xf>
    <xf numFmtId="164" fontId="10" fillId="3" borderId="0" xfId="12" applyNumberFormat="1" applyFont="1" applyFill="1" applyAlignment="1" applyProtection="1">
      <alignment horizontal="right"/>
    </xf>
    <xf numFmtId="0" fontId="8" fillId="3" borderId="0" xfId="0" applyFont="1" applyFill="1" applyAlignment="1" applyProtection="1">
      <alignment horizontal="right"/>
    </xf>
    <xf numFmtId="0" fontId="8" fillId="0" borderId="1" xfId="0" applyFont="1" applyFill="1" applyBorder="1" applyAlignment="1" applyProtection="1">
      <alignment horizontal="right"/>
    </xf>
    <xf numFmtId="0" fontId="8" fillId="3" borderId="1" xfId="0" applyFont="1" applyFill="1" applyBorder="1" applyAlignment="1" applyProtection="1">
      <alignment horizontal="center" textRotation="90"/>
    </xf>
    <xf numFmtId="0" fontId="8" fillId="3" borderId="1" xfId="4" applyFont="1" applyFill="1" applyBorder="1" applyAlignment="1" applyProtection="1">
      <alignment horizontal="center" textRotation="90" wrapText="1"/>
    </xf>
    <xf numFmtId="0" fontId="8" fillId="3" borderId="0" xfId="0" applyFont="1" applyFill="1" applyAlignment="1" applyProtection="1">
      <alignment horizontal="center"/>
      <protection locked="0"/>
    </xf>
    <xf numFmtId="0" fontId="8" fillId="0" borderId="1" xfId="4" applyFont="1" applyBorder="1" applyAlignment="1" applyProtection="1">
      <alignment horizontal="center"/>
    </xf>
    <xf numFmtId="0" fontId="8" fillId="3" borderId="0" xfId="0" applyFont="1" applyFill="1" applyAlignment="1" applyProtection="1">
      <alignment horizontal="left"/>
      <protection locked="0"/>
    </xf>
    <xf numFmtId="0" fontId="8" fillId="3" borderId="7" xfId="0" applyFont="1" applyFill="1" applyBorder="1" applyAlignment="1" applyProtection="1">
      <alignment horizontal="center"/>
    </xf>
    <xf numFmtId="0" fontId="8" fillId="0" borderId="8" xfId="4" applyFont="1" applyBorder="1" applyProtection="1"/>
    <xf numFmtId="164" fontId="8" fillId="3" borderId="7" xfId="0" applyNumberFormat="1" applyFont="1" applyFill="1" applyBorder="1" applyAlignment="1" applyProtection="1">
      <alignment horizontal="center"/>
    </xf>
    <xf numFmtId="164" fontId="8" fillId="3" borderId="21" xfId="0" applyNumberFormat="1" applyFont="1" applyFill="1" applyBorder="1" applyAlignment="1" applyProtection="1">
      <alignment horizontal="center"/>
    </xf>
    <xf numFmtId="0" fontId="8" fillId="0" borderId="1" xfId="4" applyFont="1" applyBorder="1" applyAlignment="1" applyProtection="1">
      <alignment horizontal="left"/>
    </xf>
    <xf numFmtId="2" fontId="8" fillId="0" borderId="1" xfId="4" applyNumberFormat="1" applyFont="1" applyFill="1" applyBorder="1" applyAlignment="1" applyProtection="1">
      <alignment horizontal="center"/>
    </xf>
    <xf numFmtId="164" fontId="8" fillId="3" borderId="5" xfId="0" applyNumberFormat="1" applyFont="1" applyFill="1" applyBorder="1" applyAlignment="1" applyProtection="1">
      <alignment horizontal="center"/>
    </xf>
    <xf numFmtId="164" fontId="8" fillId="3" borderId="6" xfId="0" applyNumberFormat="1" applyFont="1" applyFill="1" applyBorder="1" applyAlignment="1" applyProtection="1">
      <alignment horizontal="center"/>
    </xf>
    <xf numFmtId="0" fontId="8" fillId="0" borderId="1" xfId="4" applyFont="1" applyBorder="1" applyProtection="1"/>
    <xf numFmtId="9" fontId="8" fillId="0" borderId="1" xfId="9" applyFont="1" applyFill="1" applyBorder="1" applyAlignment="1" applyProtection="1">
      <alignment horizontal="center"/>
    </xf>
    <xf numFmtId="9" fontId="8" fillId="3" borderId="5" xfId="9" applyFont="1" applyFill="1" applyBorder="1" applyAlignment="1" applyProtection="1">
      <alignment horizontal="center"/>
    </xf>
    <xf numFmtId="0" fontId="8" fillId="3" borderId="0" xfId="0" applyFont="1" applyFill="1" applyAlignment="1" applyProtection="1">
      <alignment horizontal="right"/>
      <protection locked="0"/>
    </xf>
    <xf numFmtId="165" fontId="8" fillId="3" borderId="1" xfId="0" applyNumberFormat="1" applyFont="1" applyFill="1" applyBorder="1" applyAlignment="1" applyProtection="1">
      <alignment horizontal="center"/>
    </xf>
    <xf numFmtId="165" fontId="8" fillId="0" borderId="1" xfId="1" applyNumberFormat="1" applyFont="1" applyFill="1" applyBorder="1" applyAlignment="1" applyProtection="1">
      <alignment horizontal="center"/>
    </xf>
    <xf numFmtId="165" fontId="8" fillId="0" borderId="3" xfId="1" applyNumberFormat="1" applyFont="1" applyFill="1" applyBorder="1" applyAlignment="1" applyProtection="1">
      <alignment horizontal="center"/>
    </xf>
    <xf numFmtId="165" fontId="8" fillId="3" borderId="1" xfId="1" applyNumberFormat="1" applyFont="1" applyFill="1" applyBorder="1" applyAlignment="1" applyProtection="1">
      <alignment horizontal="center"/>
    </xf>
    <xf numFmtId="0" fontId="8" fillId="0" borderId="0" xfId="0" applyFont="1"/>
    <xf numFmtId="165" fontId="8" fillId="3" borderId="1" xfId="11" applyNumberFormat="1" applyFont="1" applyFill="1" applyBorder="1" applyAlignment="1" applyProtection="1">
      <alignment horizontal="center"/>
    </xf>
    <xf numFmtId="0" fontId="8" fillId="0" borderId="0" xfId="0" applyFont="1" applyFill="1" applyProtection="1">
      <protection locked="0"/>
    </xf>
    <xf numFmtId="165" fontId="8" fillId="0" borderId="7" xfId="1" applyNumberFormat="1" applyFont="1" applyFill="1" applyBorder="1" applyAlignment="1" applyProtection="1">
      <alignment horizontal="center"/>
    </xf>
    <xf numFmtId="0" fontId="8" fillId="0" borderId="1" xfId="0" applyFont="1" applyFill="1" applyBorder="1" applyAlignment="1" applyProtection="1">
      <alignment horizontal="center"/>
    </xf>
    <xf numFmtId="165" fontId="8" fillId="0" borderId="5" xfId="1" applyNumberFormat="1" applyFont="1" applyFill="1" applyBorder="1" applyAlignment="1" applyProtection="1">
      <alignment horizontal="center"/>
    </xf>
    <xf numFmtId="165" fontId="8" fillId="0" borderId="9" xfId="1" applyNumberFormat="1" applyFont="1" applyFill="1" applyBorder="1" applyAlignment="1" applyProtection="1">
      <alignment horizontal="center"/>
    </xf>
    <xf numFmtId="9" fontId="14" fillId="0" borderId="3" xfId="9" applyFont="1" applyFill="1" applyBorder="1" applyAlignment="1" applyProtection="1">
      <alignment horizontal="center"/>
    </xf>
    <xf numFmtId="9" fontId="14" fillId="0" borderId="4" xfId="9" applyFont="1" applyFill="1" applyBorder="1" applyAlignment="1" applyProtection="1">
      <alignment horizontal="center"/>
    </xf>
    <xf numFmtId="0" fontId="8" fillId="0" borderId="0" xfId="0" applyFont="1" applyProtection="1">
      <protection locked="0"/>
    </xf>
    <xf numFmtId="2" fontId="8" fillId="0" borderId="1" xfId="0" applyNumberFormat="1" applyFont="1" applyFill="1" applyBorder="1" applyAlignment="1" applyProtection="1">
      <alignment horizontal="center"/>
    </xf>
    <xf numFmtId="0" fontId="8" fillId="0" borderId="0" xfId="0" applyFont="1" applyFill="1" applyAlignment="1">
      <alignment horizontal="right"/>
    </xf>
    <xf numFmtId="0" fontId="8" fillId="0" borderId="0" xfId="0" quotePrefix="1" applyFont="1" applyFill="1"/>
    <xf numFmtId="0" fontId="8" fillId="0" borderId="0" xfId="0" applyFont="1" applyFill="1"/>
    <xf numFmtId="0" fontId="8" fillId="0" borderId="1" xfId="0" applyFont="1" applyFill="1" applyBorder="1" applyProtection="1"/>
    <xf numFmtId="2" fontId="8" fillId="0" borderId="7" xfId="0" applyNumberFormat="1" applyFont="1" applyFill="1" applyBorder="1" applyAlignment="1" applyProtection="1">
      <alignment horizontal="center"/>
    </xf>
    <xf numFmtId="0" fontId="8" fillId="3" borderId="0" xfId="0" applyFont="1" applyFill="1"/>
    <xf numFmtId="0" fontId="8" fillId="0" borderId="0" xfId="0" applyFont="1" applyFill="1" applyAlignment="1" applyProtection="1">
      <alignment horizontal="center"/>
      <protection locked="0"/>
    </xf>
    <xf numFmtId="0" fontId="8" fillId="4" borderId="1" xfId="0" applyFont="1" applyFill="1" applyBorder="1" applyAlignment="1" applyProtection="1">
      <alignment horizontal="right"/>
      <protection locked="0"/>
    </xf>
    <xf numFmtId="2" fontId="8" fillId="4" borderId="2" xfId="0" applyNumberFormat="1" applyFont="1" applyFill="1" applyBorder="1" applyProtection="1">
      <protection locked="0"/>
    </xf>
    <xf numFmtId="2" fontId="8" fillId="0" borderId="0" xfId="0" applyNumberFormat="1" applyFont="1" applyFill="1" applyProtection="1">
      <protection locked="0"/>
    </xf>
    <xf numFmtId="0" fontId="8" fillId="2" borderId="1" xfId="0" applyFont="1" applyFill="1" applyBorder="1" applyAlignment="1" applyProtection="1">
      <alignment horizontal="right"/>
      <protection locked="0"/>
    </xf>
    <xf numFmtId="2" fontId="8" fillId="2" borderId="1" xfId="0" applyNumberFormat="1" applyFont="1" applyFill="1" applyBorder="1" applyProtection="1">
      <protection locked="0"/>
    </xf>
    <xf numFmtId="2" fontId="8" fillId="3" borderId="0" xfId="0" applyNumberFormat="1" applyFont="1" applyFill="1" applyProtection="1">
      <protection locked="0"/>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5" xfId="0" applyFont="1" applyFill="1" applyBorder="1" applyAlignment="1" applyProtection="1">
      <alignment horizontal="right"/>
      <protection locked="0"/>
    </xf>
    <xf numFmtId="2" fontId="8" fillId="3" borderId="1" xfId="0" applyNumberFormat="1" applyFont="1" applyFill="1" applyBorder="1" applyProtection="1">
      <protection locked="0"/>
    </xf>
    <xf numFmtId="0" fontId="8" fillId="4" borderId="1" xfId="0" applyFont="1" applyFill="1" applyBorder="1" applyProtection="1">
      <protection locked="0"/>
    </xf>
    <xf numFmtId="0" fontId="8" fillId="5" borderId="1" xfId="0" applyFont="1" applyFill="1" applyBorder="1" applyAlignment="1" applyProtection="1">
      <alignment horizontal="right"/>
      <protection locked="0"/>
    </xf>
    <xf numFmtId="0" fontId="8" fillId="5" borderId="1" xfId="0" applyFont="1" applyFill="1" applyBorder="1" applyProtection="1">
      <protection locked="0"/>
    </xf>
    <xf numFmtId="0" fontId="8" fillId="6" borderId="1" xfId="0" applyFont="1" applyFill="1" applyBorder="1" applyAlignment="1">
      <alignment horizontal="right"/>
    </xf>
    <xf numFmtId="2" fontId="8" fillId="6" borderId="1" xfId="0" applyNumberFormat="1" applyFont="1" applyFill="1" applyBorder="1" applyProtection="1">
      <protection locked="0"/>
    </xf>
    <xf numFmtId="0" fontId="8" fillId="8" borderId="16" xfId="4" applyFont="1" applyFill="1" applyBorder="1"/>
    <xf numFmtId="1" fontId="13" fillId="8" borderId="17" xfId="4" applyNumberFormat="1" applyFont="1" applyFill="1" applyBorder="1" applyAlignment="1">
      <alignment horizontal="center"/>
    </xf>
    <xf numFmtId="0" fontId="8" fillId="8" borderId="18" xfId="4" applyFont="1" applyFill="1" applyBorder="1"/>
    <xf numFmtId="0" fontId="13" fillId="8" borderId="19" xfId="4" applyFont="1" applyFill="1" applyBorder="1" applyAlignment="1">
      <alignment horizontal="center"/>
    </xf>
    <xf numFmtId="0" fontId="8" fillId="8" borderId="18" xfId="3" applyFont="1" applyFill="1" applyBorder="1"/>
    <xf numFmtId="0" fontId="8" fillId="8" borderId="19" xfId="3" applyFont="1" applyFill="1" applyBorder="1" applyAlignment="1">
      <alignment horizontal="center"/>
    </xf>
    <xf numFmtId="0" fontId="8" fillId="8" borderId="13" xfId="3" applyFont="1" applyFill="1" applyBorder="1"/>
    <xf numFmtId="0" fontId="8" fillId="8" borderId="14" xfId="3" applyFont="1" applyFill="1" applyBorder="1" applyAlignment="1">
      <alignment horizontal="center"/>
    </xf>
    <xf numFmtId="0" fontId="8" fillId="0" borderId="0" xfId="4" applyFont="1"/>
    <xf numFmtId="0" fontId="8" fillId="8" borderId="11" xfId="4" applyFont="1" applyFill="1" applyBorder="1" applyAlignment="1">
      <alignment horizontal="right"/>
    </xf>
    <xf numFmtId="0" fontId="8" fillId="8" borderId="26" xfId="4" applyFont="1" applyFill="1" applyBorder="1" applyAlignment="1">
      <alignment horizontal="center"/>
    </xf>
    <xf numFmtId="0" fontId="8" fillId="8" borderId="12" xfId="4" applyFont="1" applyFill="1" applyBorder="1" applyAlignment="1">
      <alignment horizontal="center"/>
    </xf>
    <xf numFmtId="0" fontId="8" fillId="0" borderId="0" xfId="4" applyFont="1" applyFill="1" applyBorder="1" applyAlignment="1">
      <alignment horizontal="center"/>
    </xf>
    <xf numFmtId="0" fontId="8" fillId="8" borderId="13" xfId="4" applyFont="1" applyFill="1" applyBorder="1" applyAlignment="1">
      <alignment horizontal="right"/>
    </xf>
    <xf numFmtId="0" fontId="8" fillId="8" borderId="20" xfId="4" applyFont="1" applyFill="1" applyBorder="1" applyAlignment="1">
      <alignment horizontal="center"/>
    </xf>
    <xf numFmtId="0" fontId="8" fillId="8" borderId="14" xfId="4" applyFont="1" applyFill="1" applyBorder="1" applyAlignment="1">
      <alignment horizontal="center"/>
    </xf>
    <xf numFmtId="0" fontId="32" fillId="3" borderId="0" xfId="14" applyFont="1" applyFill="1" applyAlignment="1" applyProtection="1"/>
    <xf numFmtId="0" fontId="21" fillId="0" borderId="1" xfId="3" applyFont="1" applyFill="1" applyBorder="1" applyProtection="1"/>
    <xf numFmtId="164" fontId="20" fillId="0" borderId="1" xfId="3" applyNumberFormat="1" applyFont="1" applyFill="1" applyBorder="1" applyAlignment="1" applyProtection="1">
      <alignment horizontal="center"/>
    </xf>
    <xf numFmtId="0" fontId="20" fillId="0" borderId="1" xfId="10" applyNumberFormat="1" applyFont="1" applyFill="1" applyBorder="1" applyAlignment="1" applyProtection="1">
      <alignment horizontal="center"/>
    </xf>
    <xf numFmtId="2" fontId="20" fillId="0" borderId="1" xfId="3" applyNumberFormat="1" applyFont="1" applyFill="1" applyBorder="1" applyAlignment="1" applyProtection="1">
      <alignment horizontal="right"/>
    </xf>
    <xf numFmtId="0" fontId="21" fillId="7" borderId="1" xfId="3" applyFont="1" applyFill="1" applyBorder="1" applyAlignment="1" applyProtection="1">
      <alignment horizontal="center"/>
    </xf>
    <xf numFmtId="9" fontId="21" fillId="7" borderId="1" xfId="10" applyFont="1" applyFill="1" applyBorder="1" applyProtection="1"/>
    <xf numFmtId="0" fontId="28" fillId="8" borderId="18" xfId="4" applyFont="1" applyFill="1" applyBorder="1" applyAlignment="1">
      <alignment horizontal="right"/>
    </xf>
    <xf numFmtId="9" fontId="8" fillId="3" borderId="3" xfId="9" applyFont="1" applyFill="1" applyBorder="1" applyAlignment="1" applyProtection="1">
      <alignment horizontal="center"/>
    </xf>
    <xf numFmtId="165" fontId="8" fillId="0" borderId="4" xfId="2" applyNumberFormat="1" applyFont="1" applyFill="1" applyBorder="1" applyAlignment="1" applyProtection="1">
      <alignment horizontal="center"/>
    </xf>
    <xf numFmtId="165" fontId="20" fillId="0" borderId="4" xfId="2" applyNumberFormat="1" applyFont="1" applyFill="1" applyBorder="1" applyAlignment="1" applyProtection="1">
      <alignment horizontal="center"/>
    </xf>
    <xf numFmtId="0" fontId="21" fillId="3" borderId="0" xfId="4" applyFont="1" applyFill="1" applyAlignment="1">
      <alignment horizontal="right"/>
    </xf>
    <xf numFmtId="0" fontId="21" fillId="3" borderId="0" xfId="4" applyFont="1" applyFill="1"/>
    <xf numFmtId="164" fontId="21" fillId="0" borderId="0" xfId="4" applyNumberFormat="1" applyFont="1" applyFill="1"/>
    <xf numFmtId="9" fontId="21" fillId="0" borderId="0" xfId="4" applyNumberFormat="1" applyFont="1" applyFill="1"/>
    <xf numFmtId="0" fontId="29" fillId="0" borderId="3" xfId="4" applyFont="1" applyBorder="1"/>
    <xf numFmtId="0" fontId="20" fillId="0" borderId="1" xfId="4" applyFont="1" applyFill="1" applyBorder="1"/>
    <xf numFmtId="0" fontId="20" fillId="0" borderId="9" xfId="4" applyFont="1" applyFill="1" applyBorder="1"/>
    <xf numFmtId="0" fontId="29" fillId="0" borderId="9" xfId="4" applyFont="1" applyFill="1" applyBorder="1"/>
    <xf numFmtId="0" fontId="22" fillId="0" borderId="3" xfId="4" applyFont="1" applyFill="1" applyBorder="1"/>
    <xf numFmtId="165" fontId="20" fillId="0" borderId="3" xfId="1" applyNumberFormat="1" applyFont="1" applyFill="1" applyBorder="1" applyAlignment="1">
      <alignment horizontal="center"/>
    </xf>
    <xf numFmtId="165" fontId="20" fillId="0" borderId="5" xfId="1" applyNumberFormat="1" applyFont="1" applyFill="1" applyBorder="1" applyAlignment="1">
      <alignment horizontal="center"/>
    </xf>
    <xf numFmtId="9" fontId="8" fillId="3" borderId="6" xfId="9" applyFont="1" applyFill="1" applyBorder="1" applyAlignment="1" applyProtection="1">
      <alignment horizontal="center"/>
    </xf>
    <xf numFmtId="9" fontId="8" fillId="3" borderId="7" xfId="9" applyFont="1" applyFill="1" applyBorder="1" applyAlignment="1" applyProtection="1">
      <alignment horizontal="center"/>
    </xf>
    <xf numFmtId="9" fontId="8" fillId="0" borderId="7" xfId="9" applyFont="1" applyFill="1" applyBorder="1" applyAlignment="1" applyProtection="1">
      <alignment horizontal="center"/>
    </xf>
    <xf numFmtId="1" fontId="8" fillId="0" borderId="5" xfId="1" applyNumberFormat="1" applyFont="1" applyFill="1" applyBorder="1" applyAlignment="1" applyProtection="1">
      <alignment horizontal="center"/>
    </xf>
    <xf numFmtId="1" fontId="8" fillId="0" borderId="9" xfId="1" applyNumberFormat="1" applyFont="1" applyFill="1" applyBorder="1" applyAlignment="1" applyProtection="1">
      <alignment horizontal="center"/>
    </xf>
    <xf numFmtId="9" fontId="8" fillId="3" borderId="4" xfId="9" applyFont="1" applyFill="1" applyBorder="1" applyAlignment="1" applyProtection="1">
      <alignment horizontal="center"/>
    </xf>
    <xf numFmtId="0" fontId="8" fillId="8" borderId="7" xfId="0" applyFont="1" applyFill="1" applyBorder="1" applyAlignment="1" applyProtection="1">
      <alignment horizontal="center"/>
    </xf>
    <xf numFmtId="165" fontId="8" fillId="0" borderId="15" xfId="1" applyNumberFormat="1" applyFont="1" applyFill="1" applyBorder="1" applyAlignment="1" applyProtection="1">
      <alignment horizontal="center"/>
    </xf>
    <xf numFmtId="0" fontId="8" fillId="0" borderId="15" xfId="4" applyFont="1" applyFill="1" applyBorder="1" applyProtection="1"/>
    <xf numFmtId="0" fontId="8" fillId="0" borderId="22" xfId="0" applyFont="1" applyFill="1" applyBorder="1" applyAlignment="1" applyProtection="1">
      <alignment horizontal="center"/>
    </xf>
    <xf numFmtId="0" fontId="8" fillId="0" borderId="15"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8" xfId="0" applyFont="1" applyFill="1" applyBorder="1" applyAlignment="1" applyProtection="1">
      <alignment horizontal="center"/>
    </xf>
    <xf numFmtId="0" fontId="20" fillId="0" borderId="2" xfId="3" applyFont="1" applyFill="1" applyBorder="1" applyAlignment="1" applyProtection="1">
      <alignment horizontal="center"/>
    </xf>
    <xf numFmtId="0" fontId="34" fillId="0" borderId="1" xfId="0" applyFont="1" applyBorder="1" applyAlignment="1">
      <alignment wrapText="1"/>
    </xf>
    <xf numFmtId="0" fontId="22" fillId="8" borderId="11" xfId="12" applyFont="1" applyFill="1" applyBorder="1" applyAlignment="1"/>
    <xf numFmtId="0" fontId="28" fillId="0" borderId="18" xfId="15" applyFont="1" applyFill="1" applyBorder="1"/>
    <xf numFmtId="0" fontId="20" fillId="0" borderId="0" xfId="15" applyFont="1" applyBorder="1"/>
    <xf numFmtId="0" fontId="20" fillId="0" borderId="31" xfId="15" applyFont="1" applyBorder="1"/>
    <xf numFmtId="0" fontId="20" fillId="0" borderId="18" xfId="16" applyFont="1" applyFill="1" applyBorder="1"/>
    <xf numFmtId="2" fontId="20" fillId="13" borderId="1" xfId="15" applyNumberFormat="1" applyFont="1" applyFill="1" applyBorder="1" applyAlignment="1">
      <alignment horizontal="center"/>
    </xf>
    <xf numFmtId="2" fontId="20" fillId="14" borderId="1" xfId="15" applyNumberFormat="1" applyFont="1" applyFill="1" applyBorder="1" applyAlignment="1">
      <alignment horizontal="center"/>
    </xf>
    <xf numFmtId="2" fontId="20" fillId="15" borderId="1" xfId="15" applyNumberFormat="1" applyFont="1" applyFill="1" applyBorder="1" applyAlignment="1">
      <alignment horizontal="center"/>
    </xf>
    <xf numFmtId="2" fontId="20" fillId="15" borderId="19" xfId="15" applyNumberFormat="1" applyFont="1" applyFill="1" applyBorder="1" applyAlignment="1">
      <alignment horizontal="center"/>
    </xf>
    <xf numFmtId="0" fontId="20" fillId="0" borderId="0" xfId="15" applyFont="1" applyFill="1" applyBorder="1"/>
    <xf numFmtId="2" fontId="20" fillId="0" borderId="0" xfId="15" applyNumberFormat="1" applyFont="1" applyFill="1" applyBorder="1" applyAlignment="1">
      <alignment horizontal="center"/>
    </xf>
    <xf numFmtId="0" fontId="20" fillId="0" borderId="31" xfId="15" applyFont="1" applyFill="1" applyBorder="1"/>
    <xf numFmtId="0" fontId="20" fillId="0" borderId="13" xfId="16" applyFont="1" applyFill="1" applyBorder="1"/>
    <xf numFmtId="2" fontId="20" fillId="13" borderId="20" xfId="15" applyNumberFormat="1" applyFont="1" applyFill="1" applyBorder="1" applyAlignment="1">
      <alignment horizontal="center"/>
    </xf>
    <xf numFmtId="2" fontId="20" fillId="14" borderId="20" xfId="15" applyNumberFormat="1" applyFont="1" applyFill="1" applyBorder="1" applyAlignment="1">
      <alignment horizontal="center"/>
    </xf>
    <xf numFmtId="2" fontId="20" fillId="15" borderId="20" xfId="15" applyNumberFormat="1" applyFont="1" applyFill="1" applyBorder="1" applyAlignment="1">
      <alignment horizontal="center"/>
    </xf>
    <xf numFmtId="2" fontId="20" fillId="15" borderId="14" xfId="15" applyNumberFormat="1" applyFont="1" applyFill="1" applyBorder="1" applyAlignment="1">
      <alignment horizontal="center"/>
    </xf>
    <xf numFmtId="0" fontId="8" fillId="3" borderId="0" xfId="3" applyFont="1" applyFill="1"/>
    <xf numFmtId="0" fontId="8" fillId="0" borderId="0" xfId="3" applyFont="1" applyBorder="1"/>
    <xf numFmtId="0" fontId="8" fillId="3" borderId="0" xfId="3" applyFont="1" applyFill="1" applyBorder="1"/>
    <xf numFmtId="0" fontId="22" fillId="0" borderId="0" xfId="12" applyFont="1" applyFill="1" applyBorder="1" applyAlignment="1"/>
    <xf numFmtId="2" fontId="20" fillId="16" borderId="1" xfId="15" applyNumberFormat="1" applyFont="1" applyFill="1" applyBorder="1" applyAlignment="1">
      <alignment horizontal="center"/>
    </xf>
    <xf numFmtId="2" fontId="20" fillId="16" borderId="19" xfId="15" applyNumberFormat="1" applyFont="1" applyFill="1" applyBorder="1" applyAlignment="1">
      <alignment horizontal="center"/>
    </xf>
    <xf numFmtId="2" fontId="20" fillId="16" borderId="20" xfId="15" applyNumberFormat="1" applyFont="1" applyFill="1" applyBorder="1" applyAlignment="1">
      <alignment horizontal="center"/>
    </xf>
    <xf numFmtId="2" fontId="20" fillId="16" borderId="14" xfId="15" applyNumberFormat="1" applyFont="1" applyFill="1" applyBorder="1" applyAlignment="1">
      <alignment horizontal="center"/>
    </xf>
    <xf numFmtId="0" fontId="20" fillId="0" borderId="1" xfId="0" applyFont="1" applyFill="1" applyBorder="1" applyAlignment="1">
      <alignment horizontal="center"/>
    </xf>
    <xf numFmtId="2" fontId="29" fillId="8" borderId="1" xfId="0" applyNumberFormat="1" applyFont="1" applyFill="1" applyBorder="1" applyAlignment="1">
      <alignment horizontal="center"/>
    </xf>
    <xf numFmtId="2" fontId="29" fillId="8" borderId="19" xfId="0" applyNumberFormat="1" applyFont="1" applyFill="1" applyBorder="1" applyAlignment="1">
      <alignment horizontal="center"/>
    </xf>
    <xf numFmtId="0" fontId="22" fillId="0" borderId="3" xfId="4" applyFont="1" applyFill="1" applyBorder="1" applyAlignment="1">
      <alignment horizontal="left"/>
    </xf>
    <xf numFmtId="0" fontId="28" fillId="8" borderId="16" xfId="0" applyFont="1" applyFill="1" applyBorder="1" applyAlignment="1">
      <alignment horizontal="right"/>
    </xf>
    <xf numFmtId="2" fontId="20" fillId="8" borderId="5" xfId="0" applyNumberFormat="1" applyFont="1" applyFill="1" applyBorder="1" applyAlignment="1">
      <alignment horizontal="center"/>
    </xf>
    <xf numFmtId="2" fontId="20" fillId="8" borderId="17" xfId="0" applyNumberFormat="1" applyFont="1" applyFill="1" applyBorder="1" applyAlignment="1">
      <alignment horizontal="center"/>
    </xf>
    <xf numFmtId="2" fontId="20" fillId="8" borderId="28" xfId="4" applyNumberFormat="1" applyFont="1" applyFill="1" applyBorder="1" applyAlignment="1">
      <alignment horizontal="center"/>
    </xf>
    <xf numFmtId="0" fontId="28" fillId="8" borderId="18" xfId="0" applyFont="1" applyFill="1" applyBorder="1" applyAlignment="1">
      <alignment horizontal="right"/>
    </xf>
    <xf numFmtId="2" fontId="20" fillId="8" borderId="1" xfId="0" applyNumberFormat="1" applyFont="1" applyFill="1" applyBorder="1" applyAlignment="1">
      <alignment horizontal="center"/>
    </xf>
    <xf numFmtId="2" fontId="20" fillId="8" borderId="19" xfId="0" applyNumberFormat="1" applyFont="1" applyFill="1" applyBorder="1" applyAlignment="1">
      <alignment horizontal="center"/>
    </xf>
    <xf numFmtId="2" fontId="20" fillId="8" borderId="29" xfId="4" applyNumberFormat="1" applyFont="1" applyFill="1" applyBorder="1" applyAlignment="1">
      <alignment horizontal="center"/>
    </xf>
    <xf numFmtId="0" fontId="28" fillId="8" borderId="36" xfId="0" applyFont="1" applyFill="1" applyBorder="1" applyAlignment="1">
      <alignment horizontal="right"/>
    </xf>
    <xf numFmtId="2" fontId="20" fillId="8" borderId="7" xfId="0" applyNumberFormat="1" applyFont="1" applyFill="1" applyBorder="1" applyAlignment="1">
      <alignment horizontal="center"/>
    </xf>
    <xf numFmtId="2" fontId="20" fillId="8" borderId="20" xfId="0" applyNumberFormat="1" applyFont="1" applyFill="1" applyBorder="1" applyAlignment="1">
      <alignment horizontal="center"/>
    </xf>
    <xf numFmtId="2" fontId="20" fillId="8" borderId="14" xfId="0" applyNumberFormat="1" applyFont="1" applyFill="1" applyBorder="1" applyAlignment="1">
      <alignment horizontal="center"/>
    </xf>
    <xf numFmtId="2" fontId="20" fillId="8" borderId="30" xfId="4" applyNumberFormat="1" applyFont="1" applyFill="1" applyBorder="1" applyAlignment="1">
      <alignment horizontal="center"/>
    </xf>
    <xf numFmtId="0" fontId="28" fillId="8" borderId="37" xfId="4" applyFont="1" applyFill="1" applyBorder="1" applyAlignment="1">
      <alignment horizontal="right"/>
    </xf>
    <xf numFmtId="2" fontId="29" fillId="8" borderId="38" xfId="4" applyNumberFormat="1" applyFont="1" applyFill="1" applyBorder="1" applyAlignment="1">
      <alignment horizontal="center"/>
    </xf>
    <xf numFmtId="2" fontId="29" fillId="8" borderId="39" xfId="4" applyNumberFormat="1" applyFont="1" applyFill="1" applyBorder="1" applyAlignment="1">
      <alignment horizontal="center"/>
    </xf>
    <xf numFmtId="2" fontId="29" fillId="8" borderId="32" xfId="4" applyNumberFormat="1" applyFont="1" applyFill="1" applyBorder="1" applyAlignment="1">
      <alignment horizontal="center"/>
    </xf>
    <xf numFmtId="1" fontId="20" fillId="0" borderId="5" xfId="0" applyNumberFormat="1" applyFont="1" applyFill="1" applyBorder="1" applyAlignment="1">
      <alignment horizontal="center"/>
    </xf>
    <xf numFmtId="1" fontId="20" fillId="0" borderId="9" xfId="0" applyNumberFormat="1" applyFont="1" applyFill="1" applyBorder="1" applyAlignment="1">
      <alignment horizontal="center"/>
    </xf>
    <xf numFmtId="1" fontId="20" fillId="0" borderId="1" xfId="0" applyNumberFormat="1" applyFont="1" applyFill="1" applyBorder="1" applyAlignment="1">
      <alignment horizontal="center"/>
    </xf>
    <xf numFmtId="0" fontId="27" fillId="0" borderId="1" xfId="0" applyFont="1" applyFill="1" applyBorder="1" applyAlignment="1">
      <alignment horizontal="center"/>
    </xf>
    <xf numFmtId="0" fontId="34" fillId="0" borderId="4" xfId="0" applyFont="1" applyBorder="1"/>
    <xf numFmtId="0" fontId="34" fillId="0" borderId="41" xfId="0" applyFont="1" applyBorder="1"/>
    <xf numFmtId="0" fontId="50" fillId="0" borderId="40" xfId="14" applyBorder="1" applyAlignment="1" applyProtection="1"/>
    <xf numFmtId="0" fontId="50" fillId="0" borderId="4" xfId="14" applyBorder="1" applyAlignment="1" applyProtection="1"/>
    <xf numFmtId="0" fontId="21" fillId="8" borderId="16" xfId="3" applyFont="1" applyFill="1" applyBorder="1" applyAlignment="1" applyProtection="1">
      <alignment horizontal="right"/>
    </xf>
    <xf numFmtId="2" fontId="30" fillId="8" borderId="17" xfId="3" applyNumberFormat="1" applyFont="1" applyFill="1" applyBorder="1" applyAlignment="1" applyProtection="1">
      <alignment horizontal="right"/>
    </xf>
    <xf numFmtId="9" fontId="20" fillId="0" borderId="1" xfId="9" applyFont="1" applyFill="1" applyBorder="1" applyAlignment="1">
      <alignment horizontal="center"/>
    </xf>
    <xf numFmtId="15" fontId="34" fillId="0" borderId="1" xfId="12" applyNumberFormat="1" applyFont="1" applyBorder="1" applyAlignment="1">
      <alignment horizontal="center"/>
    </xf>
    <xf numFmtId="0" fontId="39" fillId="0" borderId="0" xfId="3" applyFont="1" applyBorder="1"/>
    <xf numFmtId="0" fontId="5" fillId="0" borderId="0" xfId="3" applyFont="1" applyBorder="1"/>
    <xf numFmtId="0" fontId="41" fillId="0" borderId="0" xfId="3" applyFont="1" applyBorder="1" applyAlignment="1">
      <alignment wrapText="1"/>
    </xf>
    <xf numFmtId="0" fontId="42" fillId="0" borderId="0" xfId="3" applyFont="1" applyBorder="1"/>
    <xf numFmtId="0" fontId="41" fillId="0" borderId="0" xfId="3" applyFont="1" applyBorder="1" applyAlignment="1">
      <alignment vertical="center" wrapText="1"/>
    </xf>
    <xf numFmtId="0" fontId="50" fillId="0" borderId="0" xfId="14" applyBorder="1" applyAlignment="1" applyProtection="1">
      <alignment horizontal="center" vertical="center"/>
    </xf>
    <xf numFmtId="0" fontId="32" fillId="0" borderId="0" xfId="21" applyFont="1" applyFill="1" applyAlignment="1" applyProtection="1"/>
    <xf numFmtId="0" fontId="44" fillId="0" borderId="0" xfId="12" applyFont="1"/>
    <xf numFmtId="0" fontId="23" fillId="0" borderId="0" xfId="12" applyFont="1" applyAlignment="1">
      <alignment horizontal="right"/>
    </xf>
    <xf numFmtId="0" fontId="45" fillId="0" borderId="0" xfId="12" applyNumberFormat="1" applyFont="1" applyAlignment="1">
      <alignment horizontal="center"/>
    </xf>
    <xf numFmtId="0" fontId="44" fillId="0" borderId="0" xfId="12" applyNumberFormat="1" applyFont="1"/>
    <xf numFmtId="0" fontId="21" fillId="0" borderId="0" xfId="12" applyFont="1" applyAlignment="1">
      <alignment horizontal="right"/>
    </xf>
    <xf numFmtId="1" fontId="20" fillId="0" borderId="0" xfId="12" applyNumberFormat="1" applyFont="1" applyFill="1" applyAlignment="1">
      <alignment horizontal="left"/>
    </xf>
    <xf numFmtId="0" fontId="20" fillId="0" borderId="0" xfId="12" applyFont="1"/>
    <xf numFmtId="0" fontId="46" fillId="0" borderId="0" xfId="12" applyFont="1" applyAlignment="1">
      <alignment horizontal="center"/>
    </xf>
    <xf numFmtId="0" fontId="46" fillId="0" borderId="0" xfId="12" applyNumberFormat="1" applyFont="1" applyAlignment="1">
      <alignment horizontal="center"/>
    </xf>
    <xf numFmtId="0" fontId="21" fillId="0" borderId="0" xfId="12" applyNumberFormat="1" applyFont="1"/>
    <xf numFmtId="0" fontId="21" fillId="0" borderId="0" xfId="12" applyFont="1"/>
    <xf numFmtId="0" fontId="20" fillId="0" borderId="0" xfId="12" applyFont="1" applyAlignment="1">
      <alignment horizontal="right"/>
    </xf>
    <xf numFmtId="1" fontId="20" fillId="0" borderId="0" xfId="12" applyNumberFormat="1" applyFont="1" applyFill="1" applyAlignment="1">
      <alignment horizontal="center"/>
    </xf>
    <xf numFmtId="0" fontId="20" fillId="0" borderId="0" xfId="12" applyFont="1" applyAlignment="1">
      <alignment horizontal="center"/>
    </xf>
    <xf numFmtId="1" fontId="21" fillId="0" borderId="0" xfId="12" applyNumberFormat="1" applyFont="1" applyFill="1" applyAlignment="1">
      <alignment horizontal="left"/>
    </xf>
    <xf numFmtId="0" fontId="20" fillId="0" borderId="1" xfId="4" applyFont="1" applyFill="1" applyBorder="1" applyAlignment="1">
      <alignment horizontal="right"/>
    </xf>
    <xf numFmtId="0" fontId="20" fillId="3" borderId="1" xfId="4" applyFont="1" applyFill="1" applyBorder="1" applyAlignment="1">
      <alignment horizontal="center" textRotation="90" wrapText="1"/>
    </xf>
    <xf numFmtId="0" fontId="20" fillId="3" borderId="1" xfId="4" applyFont="1" applyFill="1" applyBorder="1" applyAlignment="1">
      <alignment horizontal="center"/>
    </xf>
    <xf numFmtId="0" fontId="20" fillId="0" borderId="1" xfId="4" applyFont="1" applyBorder="1" applyAlignment="1">
      <alignment horizontal="center"/>
    </xf>
    <xf numFmtId="0" fontId="46" fillId="0" borderId="0" xfId="12" applyFont="1"/>
    <xf numFmtId="0" fontId="46" fillId="0" borderId="0" xfId="12" applyNumberFormat="1" applyFont="1"/>
    <xf numFmtId="0" fontId="47" fillId="0" borderId="3" xfId="4" applyFont="1" applyFill="1" applyBorder="1"/>
    <xf numFmtId="0" fontId="20" fillId="0" borderId="1" xfId="12" applyFont="1" applyBorder="1" applyAlignment="1">
      <alignment horizontal="center"/>
    </xf>
    <xf numFmtId="0" fontId="46" fillId="0" borderId="0" xfId="12" applyFont="1" applyFill="1" applyAlignment="1">
      <alignment horizontal="center"/>
    </xf>
    <xf numFmtId="0" fontId="46" fillId="0" borderId="0" xfId="12" applyNumberFormat="1" applyFont="1" applyFill="1" applyAlignment="1">
      <alignment horizontal="center"/>
    </xf>
    <xf numFmtId="0" fontId="21" fillId="0" borderId="0" xfId="12" applyNumberFormat="1" applyFont="1" applyFill="1"/>
    <xf numFmtId="0" fontId="21" fillId="0" borderId="0" xfId="12" applyFont="1" applyFill="1"/>
    <xf numFmtId="0" fontId="48" fillId="0" borderId="0" xfId="12" applyFont="1" applyFill="1" applyAlignment="1">
      <alignment horizontal="center"/>
    </xf>
    <xf numFmtId="0" fontId="48" fillId="0" borderId="0" xfId="12" applyNumberFormat="1" applyFont="1" applyFill="1" applyAlignment="1">
      <alignment horizontal="center"/>
    </xf>
    <xf numFmtId="0" fontId="25" fillId="0" borderId="0" xfId="12" applyNumberFormat="1" applyFont="1" applyFill="1"/>
    <xf numFmtId="0" fontId="25" fillId="0" borderId="0" xfId="12" applyFont="1" applyFill="1"/>
    <xf numFmtId="0" fontId="22" fillId="0" borderId="3" xfId="18" applyFont="1" applyFill="1" applyBorder="1"/>
    <xf numFmtId="9" fontId="20" fillId="0" borderId="1" xfId="4" applyNumberFormat="1" applyFont="1" applyBorder="1"/>
    <xf numFmtId="0" fontId="20" fillId="3" borderId="0" xfId="4" applyFont="1" applyFill="1" applyBorder="1" applyAlignment="1">
      <alignment horizontal="center" textRotation="90" wrapText="1"/>
    </xf>
    <xf numFmtId="0" fontId="20" fillId="3" borderId="0" xfId="4" applyFont="1" applyFill="1" applyBorder="1" applyAlignment="1">
      <alignment horizontal="center"/>
    </xf>
    <xf numFmtId="0" fontId="20" fillId="0" borderId="0" xfId="4" applyFont="1" applyBorder="1" applyAlignment="1">
      <alignment horizontal="center"/>
    </xf>
    <xf numFmtId="0" fontId="20" fillId="0" borderId="0" xfId="4" applyFont="1" applyBorder="1" applyAlignment="1"/>
    <xf numFmtId="0" fontId="20" fillId="0" borderId="0" xfId="12" applyFont="1" applyBorder="1" applyAlignment="1">
      <alignment horizontal="center"/>
    </xf>
    <xf numFmtId="2" fontId="21" fillId="0" borderId="0" xfId="22" applyNumberFormat="1" applyFont="1" applyFill="1" applyBorder="1" applyAlignment="1">
      <alignment horizontal="center"/>
    </xf>
    <xf numFmtId="0" fontId="46" fillId="0" borderId="0" xfId="12" applyFont="1" applyFill="1" applyBorder="1" applyAlignment="1">
      <alignment horizontal="center"/>
    </xf>
    <xf numFmtId="9" fontId="20" fillId="0" borderId="0" xfId="4" applyNumberFormat="1" applyFont="1" applyBorder="1"/>
    <xf numFmtId="0" fontId="20" fillId="0" borderId="3" xfId="4" applyFont="1" applyFill="1" applyBorder="1" applyAlignment="1">
      <alignment horizontal="right"/>
    </xf>
    <xf numFmtId="0" fontId="20" fillId="0" borderId="3" xfId="4" applyFont="1" applyFill="1" applyBorder="1"/>
    <xf numFmtId="0" fontId="21" fillId="0" borderId="1" xfId="12" applyFont="1" applyFill="1" applyBorder="1"/>
    <xf numFmtId="2" fontId="20" fillId="0" borderId="1" xfId="22" applyNumberFormat="1" applyFont="1" applyFill="1" applyBorder="1" applyAlignment="1">
      <alignment horizontal="center"/>
    </xf>
    <xf numFmtId="0" fontId="33" fillId="0" borderId="0" xfId="23" applyFont="1" applyAlignment="1" applyProtection="1"/>
    <xf numFmtId="0" fontId="34" fillId="0" borderId="0" xfId="3" applyFont="1"/>
    <xf numFmtId="0" fontId="34" fillId="0" borderId="0" xfId="3" applyFont="1" applyAlignment="1">
      <alignment horizontal="center"/>
    </xf>
    <xf numFmtId="0" fontId="34" fillId="0" borderId="1" xfId="3" applyFont="1" applyBorder="1" applyAlignment="1">
      <alignment horizontal="center" vertical="center" wrapText="1"/>
    </xf>
    <xf numFmtId="0" fontId="34" fillId="0" borderId="1" xfId="3" applyFont="1" applyBorder="1" applyAlignment="1">
      <alignment vertical="center" wrapText="1"/>
    </xf>
    <xf numFmtId="9" fontId="20" fillId="0" borderId="3" xfId="9" applyFont="1" applyFill="1" applyBorder="1" applyAlignment="1">
      <alignment horizontal="center"/>
    </xf>
    <xf numFmtId="9" fontId="20" fillId="0" borderId="1" xfId="9" applyNumberFormat="1" applyFont="1" applyBorder="1" applyAlignment="1">
      <alignment horizontal="center"/>
    </xf>
    <xf numFmtId="0" fontId="34" fillId="0" borderId="1" xfId="0" applyFont="1" applyBorder="1" applyAlignment="1">
      <alignment horizontal="left" vertical="center"/>
    </xf>
    <xf numFmtId="0" fontId="34" fillId="0" borderId="1" xfId="0" applyFont="1" applyFill="1" applyBorder="1" applyAlignment="1">
      <alignment horizontal="left" vertical="center"/>
    </xf>
    <xf numFmtId="0" fontId="50" fillId="0" borderId="18" xfId="14" applyBorder="1" applyAlignment="1" applyProtection="1"/>
    <xf numFmtId="0" fontId="50" fillId="0" borderId="11" xfId="14" applyBorder="1" applyAlignment="1" applyProtection="1"/>
    <xf numFmtId="0" fontId="50" fillId="0" borderId="13" xfId="14" applyBorder="1" applyAlignment="1" applyProtection="1"/>
    <xf numFmtId="0" fontId="23" fillId="0" borderId="0" xfId="3" applyFont="1" applyFill="1" applyBorder="1" applyAlignment="1">
      <alignment vertical="center"/>
    </xf>
    <xf numFmtId="0" fontId="24" fillId="0" borderId="0" xfId="3" applyFont="1"/>
    <xf numFmtId="0" fontId="24" fillId="0" borderId="0" xfId="3" applyFont="1" applyAlignment="1">
      <alignment horizontal="right"/>
    </xf>
    <xf numFmtId="0" fontId="23" fillId="0" borderId="0" xfId="3" applyFont="1" applyAlignment="1">
      <alignment horizontal="right"/>
    </xf>
    <xf numFmtId="167" fontId="51" fillId="0" borderId="0" xfId="23" applyNumberFormat="1" applyFont="1" applyFill="1" applyBorder="1" applyAlignment="1" applyProtection="1">
      <protection locked="0"/>
    </xf>
    <xf numFmtId="167" fontId="23" fillId="0" borderId="0" xfId="4" applyNumberFormat="1" applyFont="1" applyFill="1" applyBorder="1" applyAlignment="1" applyProtection="1">
      <protection locked="0"/>
    </xf>
    <xf numFmtId="0" fontId="24" fillId="3" borderId="0" xfId="3" applyFont="1" applyFill="1"/>
    <xf numFmtId="0" fontId="49" fillId="0" borderId="0" xfId="3" applyFont="1"/>
    <xf numFmtId="0" fontId="49" fillId="3" borderId="0" xfId="3" applyFont="1" applyFill="1"/>
    <xf numFmtId="0" fontId="47" fillId="3" borderId="0" xfId="3" applyFont="1" applyFill="1"/>
    <xf numFmtId="0" fontId="52" fillId="3" borderId="0" xfId="3" applyFont="1" applyFill="1" applyBorder="1" applyAlignment="1">
      <alignment horizontal="center" vertical="center" wrapText="1"/>
    </xf>
    <xf numFmtId="0" fontId="45" fillId="3" borderId="32" xfId="3" applyFont="1" applyFill="1" applyBorder="1" applyAlignment="1">
      <alignment horizontal="center"/>
    </xf>
    <xf numFmtId="0" fontId="45" fillId="3" borderId="32" xfId="3" applyFont="1" applyFill="1" applyBorder="1" applyAlignment="1">
      <alignment horizontal="center" wrapText="1"/>
    </xf>
    <xf numFmtId="0" fontId="45" fillId="0" borderId="0" xfId="3" applyFont="1" applyFill="1" applyBorder="1" applyAlignment="1">
      <alignment horizontal="center" vertical="center"/>
    </xf>
    <xf numFmtId="0" fontId="45" fillId="3" borderId="44" xfId="3" applyFont="1" applyFill="1" applyBorder="1" applyAlignment="1">
      <alignment horizontal="center"/>
    </xf>
    <xf numFmtId="0" fontId="34" fillId="3" borderId="46" xfId="3" applyFont="1" applyFill="1" applyBorder="1" applyAlignment="1">
      <alignment horizontal="center" vertical="center"/>
    </xf>
    <xf numFmtId="0" fontId="21" fillId="0" borderId="0" xfId="3" applyFont="1" applyBorder="1" applyAlignment="1">
      <alignment horizontal="left"/>
    </xf>
    <xf numFmtId="0" fontId="21" fillId="0" borderId="0" xfId="3" applyFont="1" applyFill="1" applyBorder="1"/>
    <xf numFmtId="0" fontId="34" fillId="3" borderId="30" xfId="3" applyFont="1" applyFill="1" applyBorder="1" applyAlignment="1">
      <alignment horizontal="center" vertical="center"/>
    </xf>
    <xf numFmtId="0" fontId="34" fillId="3" borderId="28" xfId="3" applyFont="1" applyFill="1" applyBorder="1" applyAlignment="1">
      <alignment horizontal="center" vertical="center" wrapText="1"/>
    </xf>
    <xf numFmtId="0" fontId="34" fillId="3" borderId="29" xfId="3" applyFont="1" applyFill="1" applyBorder="1" applyAlignment="1">
      <alignment horizontal="center" vertical="center"/>
    </xf>
    <xf numFmtId="0" fontId="21" fillId="0" borderId="0" xfId="3" applyFont="1" applyFill="1" applyBorder="1" applyAlignment="1">
      <alignment horizontal="left"/>
    </xf>
    <xf numFmtId="0" fontId="47" fillId="0" borderId="0" xfId="3" applyFont="1" applyBorder="1" applyAlignment="1">
      <alignment vertical="center" wrapText="1"/>
    </xf>
    <xf numFmtId="0" fontId="34" fillId="3" borderId="48" xfId="3" applyFont="1" applyFill="1" applyBorder="1" applyAlignment="1">
      <alignment horizontal="center" vertical="center"/>
    </xf>
    <xf numFmtId="0" fontId="34" fillId="3" borderId="28" xfId="3" applyFont="1" applyFill="1" applyBorder="1" applyAlignment="1">
      <alignment horizontal="center" vertical="center"/>
    </xf>
    <xf numFmtId="0" fontId="47" fillId="0" borderId="0" xfId="3" applyFont="1" applyFill="1" applyBorder="1" applyAlignment="1">
      <alignment vertical="center" wrapText="1"/>
    </xf>
    <xf numFmtId="0" fontId="49" fillId="0" borderId="46" xfId="3" applyFont="1" applyBorder="1" applyAlignment="1"/>
    <xf numFmtId="0" fontId="47" fillId="3" borderId="46" xfId="3" applyFont="1" applyFill="1" applyBorder="1" applyAlignment="1">
      <alignment horizontal="center"/>
    </xf>
    <xf numFmtId="0" fontId="49" fillId="0" borderId="29" xfId="3" applyFont="1" applyBorder="1" applyAlignment="1">
      <alignment horizontal="left" wrapText="1"/>
    </xf>
    <xf numFmtId="0" fontId="47" fillId="3" borderId="29" xfId="3" applyFont="1" applyFill="1" applyBorder="1" applyAlignment="1">
      <alignment horizontal="center"/>
    </xf>
    <xf numFmtId="0" fontId="21" fillId="0" borderId="29" xfId="3" applyFont="1" applyFill="1" applyBorder="1" applyAlignment="1">
      <alignment horizontal="left"/>
    </xf>
    <xf numFmtId="0" fontId="49" fillId="3" borderId="29" xfId="3" applyFont="1" applyFill="1" applyBorder="1" applyAlignment="1">
      <alignment horizontal="center"/>
    </xf>
    <xf numFmtId="0" fontId="21" fillId="0" borderId="29" xfId="3" applyFont="1" applyBorder="1" applyAlignment="1">
      <alignment horizontal="left"/>
    </xf>
    <xf numFmtId="0" fontId="49" fillId="0" borderId="30" xfId="3" applyFont="1" applyBorder="1" applyAlignment="1">
      <alignment horizontal="left" wrapText="1"/>
    </xf>
    <xf numFmtId="0" fontId="49" fillId="3" borderId="30" xfId="3" applyFont="1" applyFill="1" applyBorder="1" applyAlignment="1">
      <alignment horizontal="center"/>
    </xf>
    <xf numFmtId="0" fontId="49" fillId="0" borderId="0" xfId="3" applyFont="1" applyBorder="1" applyAlignment="1"/>
    <xf numFmtId="0" fontId="49" fillId="0" borderId="0" xfId="3" applyFont="1" applyBorder="1" applyAlignment="1">
      <alignment horizontal="center" vertical="center" wrapText="1"/>
    </xf>
    <xf numFmtId="0" fontId="49" fillId="3" borderId="0" xfId="3" applyFont="1" applyFill="1" applyBorder="1" applyAlignment="1">
      <alignment horizontal="center" vertical="center" wrapText="1"/>
    </xf>
    <xf numFmtId="0" fontId="49" fillId="0" borderId="0" xfId="3" applyFont="1" applyBorder="1" applyAlignment="1">
      <alignment horizontal="center" wrapText="1"/>
    </xf>
    <xf numFmtId="0" fontId="47" fillId="3" borderId="0" xfId="3" applyFont="1" applyFill="1" applyBorder="1" applyAlignment="1">
      <alignment horizontal="center"/>
    </xf>
    <xf numFmtId="0" fontId="46" fillId="0" borderId="0" xfId="3" applyFont="1" applyBorder="1" applyAlignment="1">
      <alignment vertical="top" wrapText="1"/>
    </xf>
    <xf numFmtId="0" fontId="49" fillId="0" borderId="0" xfId="3" applyFont="1" applyBorder="1" applyAlignment="1">
      <alignment wrapText="1"/>
    </xf>
    <xf numFmtId="0" fontId="49" fillId="0" borderId="0" xfId="3" applyFont="1" applyBorder="1" applyAlignment="1">
      <alignment horizontal="left" vertical="top" wrapText="1"/>
    </xf>
    <xf numFmtId="0" fontId="49" fillId="0" borderId="0" xfId="3" applyFont="1" applyAlignment="1">
      <alignment horizontal="right"/>
    </xf>
    <xf numFmtId="0" fontId="45" fillId="0" borderId="0" xfId="3" applyFont="1" applyBorder="1" applyAlignment="1">
      <alignment vertical="top"/>
    </xf>
    <xf numFmtId="0" fontId="54" fillId="0" borderId="0" xfId="24" applyFont="1" applyBorder="1" applyAlignment="1" applyProtection="1">
      <alignment vertical="top"/>
    </xf>
    <xf numFmtId="0" fontId="45" fillId="0" borderId="0" xfId="3" applyFont="1" applyBorder="1" applyAlignment="1">
      <alignment vertical="top" wrapText="1"/>
    </xf>
    <xf numFmtId="0" fontId="46" fillId="0" borderId="0" xfId="3" applyFont="1" applyBorder="1" applyAlignment="1">
      <alignment wrapText="1"/>
    </xf>
    <xf numFmtId="0" fontId="49" fillId="3" borderId="0" xfId="3" applyFont="1" applyFill="1" applyAlignment="1">
      <alignment wrapText="1"/>
    </xf>
    <xf numFmtId="9" fontId="20" fillId="0" borderId="7" xfId="9" applyFont="1" applyFill="1" applyBorder="1" applyAlignment="1">
      <alignment horizontal="center"/>
    </xf>
    <xf numFmtId="0" fontId="8" fillId="0" borderId="0" xfId="0" applyFont="1" applyFill="1" applyBorder="1" applyProtection="1"/>
    <xf numFmtId="0" fontId="49" fillId="0" borderId="0" xfId="15" applyFont="1" applyFill="1" applyBorder="1"/>
    <xf numFmtId="0" fontId="49" fillId="3" borderId="0" xfId="3" applyFont="1" applyFill="1" applyBorder="1"/>
    <xf numFmtId="0" fontId="49" fillId="0" borderId="0" xfId="3" applyFont="1" applyBorder="1" applyAlignment="1">
      <alignment vertical="center"/>
    </xf>
    <xf numFmtId="0" fontId="49" fillId="0" borderId="0" xfId="3" applyFont="1" applyFill="1" applyBorder="1" applyAlignment="1">
      <alignment vertical="center"/>
    </xf>
    <xf numFmtId="0" fontId="50" fillId="3" borderId="0" xfId="14" applyFill="1" applyAlignment="1" applyProtection="1"/>
    <xf numFmtId="0" fontId="41" fillId="0" borderId="0" xfId="3" applyFont="1" applyBorder="1" applyAlignment="1">
      <alignment horizontal="center" vertical="center" wrapText="1"/>
    </xf>
    <xf numFmtId="0" fontId="34" fillId="0" borderId="1" xfId="3" applyFont="1" applyBorder="1" applyAlignment="1">
      <alignment wrapText="1"/>
    </xf>
    <xf numFmtId="0" fontId="34" fillId="0" borderId="1" xfId="0" applyFont="1" applyFill="1" applyBorder="1" applyAlignment="1">
      <alignment wrapText="1"/>
    </xf>
    <xf numFmtId="0" fontId="34" fillId="0" borderId="1" xfId="12" applyFont="1" applyBorder="1" applyAlignment="1">
      <alignment wrapText="1"/>
    </xf>
    <xf numFmtId="0" fontId="34" fillId="0" borderId="1" xfId="0" applyFont="1" applyBorder="1" applyAlignment="1">
      <alignment horizontal="left" vertical="center" wrapText="1"/>
    </xf>
    <xf numFmtId="165" fontId="8" fillId="0" borderId="1" xfId="11" applyNumberFormat="1" applyFont="1" applyFill="1" applyBorder="1" applyAlignment="1" applyProtection="1">
      <alignment horizontal="center"/>
    </xf>
    <xf numFmtId="165" fontId="8" fillId="0" borderId="3" xfId="11" applyNumberFormat="1" applyFont="1" applyFill="1" applyBorder="1" applyAlignment="1" applyProtection="1">
      <alignment horizontal="center"/>
    </xf>
    <xf numFmtId="0" fontId="45" fillId="3" borderId="32" xfId="3" applyFont="1" applyFill="1" applyBorder="1" applyAlignment="1">
      <alignment horizontal="center" vertical="center" wrapText="1"/>
    </xf>
    <xf numFmtId="0" fontId="34" fillId="0" borderId="32" xfId="3" applyFont="1" applyBorder="1" applyAlignment="1">
      <alignment horizontal="center" vertical="center" wrapText="1"/>
    </xf>
    <xf numFmtId="0" fontId="8" fillId="0" borderId="1" xfId="0" applyFont="1" applyBorder="1"/>
    <xf numFmtId="0" fontId="49" fillId="0" borderId="1" xfId="15" applyFont="1" applyBorder="1"/>
    <xf numFmtId="2" fontId="20" fillId="0" borderId="3" xfId="0" applyNumberFormat="1" applyFont="1" applyFill="1" applyBorder="1" applyAlignment="1" applyProtection="1">
      <alignment horizontal="center"/>
    </xf>
    <xf numFmtId="2" fontId="20" fillId="0" borderId="4" xfId="0" applyNumberFormat="1" applyFont="1" applyFill="1" applyBorder="1" applyAlignment="1" applyProtection="1">
      <alignment horizontal="center"/>
    </xf>
    <xf numFmtId="2" fontId="20" fillId="0" borderId="2" xfId="0" applyNumberFormat="1" applyFont="1" applyFill="1" applyBorder="1" applyAlignment="1" applyProtection="1">
      <alignment horizontal="center"/>
    </xf>
    <xf numFmtId="0" fontId="28" fillId="0" borderId="3" xfId="4" applyFont="1" applyFill="1" applyBorder="1"/>
    <xf numFmtId="2" fontId="8" fillId="0" borderId="8" xfId="0" applyNumberFormat="1" applyFont="1" applyFill="1" applyBorder="1" applyAlignment="1" applyProtection="1">
      <alignment horizontal="center"/>
    </xf>
    <xf numFmtId="2" fontId="8" fillId="0" borderId="3" xfId="0" applyNumberFormat="1" applyFont="1" applyFill="1" applyBorder="1" applyAlignment="1" applyProtection="1">
      <alignment horizontal="center"/>
    </xf>
    <xf numFmtId="2" fontId="8" fillId="0" borderId="4" xfId="0" applyNumberFormat="1" applyFont="1" applyFill="1" applyBorder="1" applyAlignment="1" applyProtection="1">
      <alignment horizontal="center"/>
    </xf>
    <xf numFmtId="2" fontId="8" fillId="0" borderId="2" xfId="0" applyNumberFormat="1" applyFont="1" applyFill="1" applyBorder="1" applyAlignment="1" applyProtection="1">
      <alignment horizontal="center"/>
    </xf>
    <xf numFmtId="2" fontId="8" fillId="0" borderId="5" xfId="0" applyNumberFormat="1" applyFont="1" applyFill="1" applyBorder="1" applyAlignment="1" applyProtection="1">
      <alignment horizontal="center"/>
    </xf>
    <xf numFmtId="15" fontId="34" fillId="0" borderId="1" xfId="0" applyNumberFormat="1" applyFont="1" applyBorder="1" applyAlignment="1">
      <alignment horizontal="center"/>
    </xf>
    <xf numFmtId="0" fontId="34" fillId="0" borderId="1" xfId="0" applyFont="1" applyBorder="1"/>
    <xf numFmtId="0" fontId="34" fillId="0" borderId="1" xfId="12" applyFont="1" applyBorder="1"/>
    <xf numFmtId="0" fontId="24" fillId="0" borderId="0" xfId="4" applyFont="1" applyAlignment="1">
      <alignment horizontal="center"/>
    </xf>
    <xf numFmtId="166" fontId="21" fillId="0" borderId="0" xfId="1" applyNumberFormat="1" applyFont="1" applyFill="1" applyBorder="1" applyAlignment="1" applyProtection="1">
      <alignment horizontal="left"/>
    </xf>
    <xf numFmtId="2" fontId="24" fillId="0" borderId="0" xfId="4" applyNumberFormat="1" applyFont="1" applyAlignment="1"/>
    <xf numFmtId="0" fontId="24" fillId="3" borderId="0" xfId="3" applyFont="1" applyFill="1" applyAlignment="1" applyProtection="1">
      <alignment horizontal="right"/>
    </xf>
    <xf numFmtId="0" fontId="37" fillId="0" borderId="52" xfId="0" applyFont="1" applyBorder="1" applyAlignment="1">
      <alignment horizontal="center"/>
    </xf>
    <xf numFmtId="167" fontId="34" fillId="0" borderId="53" xfId="0" applyNumberFormat="1" applyFont="1" applyBorder="1"/>
    <xf numFmtId="15" fontId="34" fillId="0" borderId="54" xfId="0" applyNumberFormat="1" applyFont="1" applyBorder="1"/>
    <xf numFmtId="0" fontId="34" fillId="0" borderId="54" xfId="0" applyFont="1" applyBorder="1"/>
    <xf numFmtId="0" fontId="34" fillId="0" borderId="55" xfId="0" applyFont="1" applyBorder="1"/>
    <xf numFmtId="2" fontId="34" fillId="0" borderId="26" xfId="0" applyNumberFormat="1" applyFont="1" applyBorder="1"/>
    <xf numFmtId="2" fontId="34" fillId="0" borderId="1" xfId="0" applyNumberFormat="1" applyFont="1" applyBorder="1"/>
    <xf numFmtId="2" fontId="34" fillId="0" borderId="20" xfId="0" applyNumberFormat="1" applyFont="1" applyBorder="1"/>
    <xf numFmtId="0" fontId="55" fillId="8" borderId="1" xfId="3" applyFont="1" applyFill="1" applyBorder="1"/>
    <xf numFmtId="0" fontId="2" fillId="0" borderId="0" xfId="3"/>
    <xf numFmtId="0" fontId="8" fillId="0" borderId="1" xfId="3" applyFont="1" applyBorder="1"/>
    <xf numFmtId="9" fontId="2" fillId="0" borderId="1" xfId="3" applyNumberFormat="1" applyBorder="1"/>
    <xf numFmtId="9" fontId="0" fillId="0" borderId="1" xfId="0" applyNumberFormat="1" applyBorder="1"/>
    <xf numFmtId="0" fontId="8" fillId="0" borderId="0" xfId="0" applyFont="1" applyFill="1" applyAlignment="1">
      <alignment horizontal="left"/>
    </xf>
    <xf numFmtId="0" fontId="11" fillId="0" borderId="0" xfId="0" applyFont="1" applyAlignment="1" applyProtection="1">
      <alignment horizontal="left"/>
      <protection locked="0"/>
    </xf>
    <xf numFmtId="0" fontId="8" fillId="0" borderId="0" xfId="0" applyFont="1" applyAlignment="1" applyProtection="1">
      <alignment horizontal="left"/>
      <protection locked="0"/>
    </xf>
    <xf numFmtId="0" fontId="10" fillId="0" borderId="0" xfId="12" applyFont="1"/>
    <xf numFmtId="0" fontId="21" fillId="0" borderId="1" xfId="3" applyFont="1" applyBorder="1" applyProtection="1"/>
    <xf numFmtId="9" fontId="21" fillId="0" borderId="1" xfId="9" applyFont="1" applyBorder="1" applyProtection="1"/>
    <xf numFmtId="2" fontId="20" fillId="0" borderId="1" xfId="0" applyNumberFormat="1" applyFont="1" applyBorder="1" applyAlignment="1">
      <alignment horizontal="center"/>
    </xf>
    <xf numFmtId="2" fontId="20" fillId="0" borderId="1" xfId="0" applyNumberFormat="1" applyFont="1" applyBorder="1" applyAlignment="1">
      <alignment horizontal="center" vertical="center"/>
    </xf>
    <xf numFmtId="0" fontId="34" fillId="0" borderId="1" xfId="0" applyFont="1" applyBorder="1" applyAlignment="1">
      <alignment vertical="center"/>
    </xf>
    <xf numFmtId="0" fontId="34" fillId="0" borderId="1" xfId="0" applyFont="1" applyBorder="1" applyAlignment="1">
      <alignment horizontal="left"/>
    </xf>
    <xf numFmtId="0" fontId="50" fillId="0" borderId="0" xfId="14" applyFill="1" applyBorder="1" applyAlignment="1" applyProtection="1"/>
    <xf numFmtId="15" fontId="0" fillId="0" borderId="0" xfId="0" applyNumberFormat="1"/>
    <xf numFmtId="0" fontId="2" fillId="0" borderId="1" xfId="3" applyBorder="1"/>
    <xf numFmtId="0" fontId="5" fillId="0" borderId="0" xfId="3" applyFont="1" applyBorder="1" applyAlignment="1">
      <alignment horizontal="left" vertical="center"/>
    </xf>
    <xf numFmtId="0" fontId="10" fillId="0" borderId="1" xfId="12" applyFont="1" applyBorder="1"/>
    <xf numFmtId="0" fontId="20" fillId="0" borderId="3" xfId="15" applyFont="1" applyBorder="1"/>
    <xf numFmtId="0" fontId="56" fillId="0" borderId="0" xfId="3" applyFont="1" applyAlignment="1">
      <alignment horizontal="right" vertical="center" wrapText="1"/>
    </xf>
    <xf numFmtId="15" fontId="56" fillId="0" borderId="0" xfId="3" applyNumberFormat="1" applyFont="1" applyAlignment="1">
      <alignment horizontal="left" vertical="center" wrapText="1"/>
    </xf>
    <xf numFmtId="0" fontId="41" fillId="0" borderId="0" xfId="25" applyFont="1" applyAlignment="1">
      <alignment horizontal="center" vertical="center"/>
    </xf>
    <xf numFmtId="0" fontId="57" fillId="0" borderId="0" xfId="25" applyFont="1" applyAlignment="1">
      <alignment horizontal="center" vertical="center" wrapText="1"/>
    </xf>
    <xf numFmtId="0" fontId="58" fillId="0" borderId="7" xfId="20" applyFont="1" applyBorder="1" applyAlignment="1">
      <alignment horizontal="center" vertical="center" textRotation="180"/>
    </xf>
    <xf numFmtId="0" fontId="58" fillId="8" borderId="7" xfId="20" applyFont="1" applyFill="1" applyBorder="1" applyAlignment="1">
      <alignment horizontal="center" vertical="center" textRotation="180"/>
    </xf>
    <xf numFmtId="0" fontId="40" fillId="0" borderId="11" xfId="25" applyFont="1" applyBorder="1"/>
    <xf numFmtId="0" fontId="40" fillId="0" borderId="26" xfId="25" applyFont="1" applyBorder="1"/>
    <xf numFmtId="0" fontId="40" fillId="0" borderId="26" xfId="20" applyFont="1" applyBorder="1" applyAlignment="1">
      <alignment horizontal="center" vertical="center"/>
    </xf>
    <xf numFmtId="0" fontId="40" fillId="0" borderId="18" xfId="25" applyFont="1" applyBorder="1"/>
    <xf numFmtId="0" fontId="40" fillId="0" borderId="1" xfId="25" applyFont="1" applyBorder="1"/>
    <xf numFmtId="0" fontId="40" fillId="0" borderId="1" xfId="20" applyFont="1" applyBorder="1" applyAlignment="1">
      <alignment horizontal="center" vertical="center"/>
    </xf>
    <xf numFmtId="0" fontId="40" fillId="0" borderId="12" xfId="20" applyFont="1" applyBorder="1" applyAlignment="1">
      <alignment horizontal="center" vertical="center"/>
    </xf>
    <xf numFmtId="0" fontId="40" fillId="0" borderId="19" xfId="20" applyFont="1" applyBorder="1" applyAlignment="1">
      <alignment horizontal="center" vertical="center"/>
    </xf>
    <xf numFmtId="0" fontId="40" fillId="0" borderId="13" xfId="25" applyFont="1" applyBorder="1"/>
    <xf numFmtId="0" fontId="40" fillId="0" borderId="20" xfId="25" applyFont="1" applyBorder="1"/>
    <xf numFmtId="0" fontId="40" fillId="0" borderId="20" xfId="20" applyFont="1" applyBorder="1" applyAlignment="1">
      <alignment horizontal="center" vertical="center"/>
    </xf>
    <xf numFmtId="0" fontId="40" fillId="0" borderId="14" xfId="20" applyFont="1" applyBorder="1" applyAlignment="1">
      <alignment horizontal="center" vertical="center"/>
    </xf>
    <xf numFmtId="0" fontId="8" fillId="0" borderId="1" xfId="0" applyFont="1" applyBorder="1" applyAlignment="1">
      <alignment horizontal="center"/>
    </xf>
    <xf numFmtId="0" fontId="8" fillId="3" borderId="1" xfId="0" applyFont="1" applyFill="1" applyBorder="1" applyAlignment="1" applyProtection="1">
      <alignment horizontal="center"/>
    </xf>
    <xf numFmtId="0" fontId="21" fillId="0" borderId="1" xfId="0" applyFont="1" applyBorder="1" applyAlignment="1" applyProtection="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8" fillId="0" borderId="1" xfId="0" applyFont="1" applyBorder="1" applyAlignment="1">
      <alignment horizontal="center"/>
    </xf>
    <xf numFmtId="0" fontId="8" fillId="3" borderId="1" xfId="0" applyFont="1" applyFill="1" applyBorder="1" applyAlignment="1" applyProtection="1">
      <alignment horizontal="center"/>
    </xf>
    <xf numFmtId="0" fontId="10" fillId="3" borderId="1" xfId="0" applyFont="1" applyFill="1" applyBorder="1" applyAlignment="1" applyProtection="1">
      <alignment horizontal="center"/>
    </xf>
    <xf numFmtId="2" fontId="24" fillId="0" borderId="0" xfId="4" applyNumberFormat="1" applyFont="1" applyAlignment="1">
      <alignment horizontal="left"/>
    </xf>
    <xf numFmtId="0" fontId="22" fillId="0" borderId="35" xfId="12" applyFont="1" applyFill="1" applyBorder="1" applyAlignment="1">
      <alignment horizontal="center"/>
    </xf>
    <xf numFmtId="0" fontId="22" fillId="0" borderId="0" xfId="12" applyFont="1" applyFill="1" applyBorder="1" applyAlignment="1">
      <alignment horizontal="center"/>
    </xf>
    <xf numFmtId="0" fontId="22" fillId="10" borderId="33" xfId="12" applyFont="1" applyFill="1" applyBorder="1" applyAlignment="1">
      <alignment horizontal="center"/>
    </xf>
    <xf numFmtId="0" fontId="22" fillId="10" borderId="34" xfId="12" applyFont="1" applyFill="1" applyBorder="1" applyAlignment="1">
      <alignment horizontal="center"/>
    </xf>
    <xf numFmtId="0" fontId="22" fillId="11" borderId="26" xfId="12" applyFont="1" applyFill="1" applyBorder="1" applyAlignment="1">
      <alignment horizontal="center"/>
    </xf>
    <xf numFmtId="0" fontId="22" fillId="12" borderId="26" xfId="12" applyFont="1" applyFill="1" applyBorder="1" applyAlignment="1">
      <alignment horizontal="center"/>
    </xf>
    <xf numFmtId="0" fontId="22" fillId="12" borderId="12" xfId="12" applyFont="1" applyFill="1" applyBorder="1" applyAlignment="1">
      <alignment horizontal="center"/>
    </xf>
    <xf numFmtId="0" fontId="9" fillId="8" borderId="10" xfId="12" applyFont="1" applyFill="1" applyBorder="1" applyAlignment="1">
      <alignment horizontal="left"/>
    </xf>
    <xf numFmtId="0" fontId="9" fillId="8" borderId="23" xfId="12" applyFont="1" applyFill="1" applyBorder="1" applyAlignment="1">
      <alignment horizontal="left"/>
    </xf>
    <xf numFmtId="0" fontId="22" fillId="4" borderId="10" xfId="0" applyFont="1" applyFill="1" applyBorder="1" applyAlignment="1">
      <alignment horizontal="left"/>
    </xf>
    <xf numFmtId="0" fontId="22" fillId="4" borderId="27" xfId="0" applyFont="1" applyFill="1" applyBorder="1" applyAlignment="1">
      <alignment horizontal="left"/>
    </xf>
    <xf numFmtId="0" fontId="22" fillId="4" borderId="23" xfId="0" applyFont="1" applyFill="1" applyBorder="1" applyAlignment="1">
      <alignment horizontal="left"/>
    </xf>
    <xf numFmtId="0" fontId="9" fillId="8" borderId="10" xfId="3" applyFont="1" applyFill="1" applyBorder="1" applyAlignment="1">
      <alignment horizontal="left"/>
    </xf>
    <xf numFmtId="0" fontId="9" fillId="8" borderId="23" xfId="3" applyFont="1" applyFill="1" applyBorder="1" applyAlignment="1">
      <alignment horizontal="left"/>
    </xf>
    <xf numFmtId="0" fontId="11" fillId="8" borderId="24" xfId="3" applyFont="1" applyFill="1" applyBorder="1" applyAlignment="1">
      <alignment horizontal="left"/>
    </xf>
    <xf numFmtId="0" fontId="11" fillId="8" borderId="25" xfId="3" applyFont="1" applyFill="1" applyBorder="1" applyAlignment="1">
      <alignment horizontal="left"/>
    </xf>
    <xf numFmtId="167" fontId="6" fillId="0" borderId="0" xfId="3" applyNumberFormat="1" applyFont="1" applyFill="1" applyBorder="1" applyAlignment="1" applyProtection="1">
      <alignment horizontal="left"/>
      <protection locked="0"/>
    </xf>
    <xf numFmtId="167" fontId="7" fillId="0" borderId="0" xfId="3" applyNumberFormat="1" applyFont="1" applyFill="1" applyBorder="1" applyAlignment="1">
      <alignment horizontal="left"/>
    </xf>
    <xf numFmtId="0" fontId="7" fillId="0" borderId="0" xfId="3" applyFont="1" applyFill="1" applyBorder="1" applyAlignment="1">
      <alignment horizontal="left"/>
    </xf>
    <xf numFmtId="0" fontId="6" fillId="3" borderId="15" xfId="0" applyFont="1" applyFill="1" applyBorder="1" applyAlignment="1" applyProtection="1">
      <alignment horizontal="left"/>
      <protection locked="0"/>
    </xf>
    <xf numFmtId="0" fontId="6" fillId="3" borderId="0" xfId="0" applyFont="1" applyFill="1" applyBorder="1" applyAlignment="1" applyProtection="1">
      <alignment horizontal="left"/>
      <protection locked="0"/>
    </xf>
    <xf numFmtId="0" fontId="21" fillId="0" borderId="1" xfId="0" applyFont="1" applyBorder="1" applyAlignment="1" applyProtection="1">
      <alignment horizontal="center"/>
    </xf>
    <xf numFmtId="167" fontId="23" fillId="0" borderId="0" xfId="3" applyNumberFormat="1" applyFont="1" applyFill="1" applyBorder="1" applyAlignment="1" applyProtection="1">
      <alignment horizontal="left"/>
    </xf>
    <xf numFmtId="167" fontId="24" fillId="0" borderId="0" xfId="3" applyNumberFormat="1" applyFont="1" applyFill="1" applyBorder="1" applyAlignment="1" applyProtection="1">
      <alignment horizontal="left"/>
    </xf>
    <xf numFmtId="0" fontId="24" fillId="0" borderId="0" xfId="3" applyFont="1" applyFill="1" applyBorder="1" applyAlignment="1" applyProtection="1">
      <alignment horizontal="left"/>
    </xf>
    <xf numFmtId="0" fontId="20" fillId="3" borderId="3" xfId="5" applyFont="1" applyFill="1" applyBorder="1" applyAlignment="1" applyProtection="1">
      <alignment horizontal="center"/>
    </xf>
    <xf numFmtId="0" fontId="20" fillId="3" borderId="2" xfId="5" applyFont="1" applyFill="1" applyBorder="1" applyAlignment="1" applyProtection="1">
      <alignment horizontal="center"/>
    </xf>
    <xf numFmtId="0" fontId="20" fillId="3" borderId="4" xfId="5" applyFont="1" applyFill="1" applyBorder="1" applyAlignment="1" applyProtection="1">
      <alignment horizontal="center"/>
    </xf>
    <xf numFmtId="0" fontId="22" fillId="10" borderId="26" xfId="12" applyFont="1" applyFill="1" applyBorder="1" applyAlignment="1">
      <alignment horizontal="center"/>
    </xf>
    <xf numFmtId="0" fontId="22" fillId="8" borderId="10" xfId="12" applyFont="1" applyFill="1" applyBorder="1" applyAlignment="1" applyProtection="1">
      <alignment horizontal="left"/>
    </xf>
    <xf numFmtId="0" fontId="22" fillId="8" borderId="23" xfId="12" applyFont="1" applyFill="1" applyBorder="1" applyAlignment="1" applyProtection="1">
      <alignment horizontal="left"/>
    </xf>
    <xf numFmtId="0" fontId="23" fillId="3" borderId="0" xfId="0" applyFont="1" applyFill="1" applyBorder="1" applyAlignment="1" applyProtection="1">
      <alignment horizontal="left"/>
    </xf>
    <xf numFmtId="0" fontId="22" fillId="8" borderId="10" xfId="3" applyFont="1" applyFill="1" applyBorder="1" applyAlignment="1" applyProtection="1">
      <alignment horizontal="left"/>
    </xf>
    <xf numFmtId="0" fontId="22" fillId="8" borderId="23" xfId="3" applyFont="1" applyFill="1" applyBorder="1" applyAlignment="1" applyProtection="1">
      <alignment horizontal="left"/>
    </xf>
    <xf numFmtId="0" fontId="28" fillId="8" borderId="24" xfId="3" applyFont="1" applyFill="1" applyBorder="1" applyAlignment="1" applyProtection="1">
      <alignment horizontal="left"/>
    </xf>
    <xf numFmtId="0" fontId="28" fillId="8" borderId="25" xfId="3" applyFont="1" applyFill="1" applyBorder="1" applyAlignment="1" applyProtection="1">
      <alignment horizontal="left"/>
    </xf>
    <xf numFmtId="0" fontId="22" fillId="8" borderId="10" xfId="0" applyFont="1" applyFill="1" applyBorder="1" applyAlignment="1" applyProtection="1">
      <alignment horizontal="left"/>
    </xf>
    <xf numFmtId="0" fontId="22" fillId="8" borderId="27" xfId="0" applyFont="1" applyFill="1" applyBorder="1" applyAlignment="1" applyProtection="1">
      <alignment horizontal="left"/>
    </xf>
    <xf numFmtId="0" fontId="22" fillId="8" borderId="23" xfId="0" applyFont="1" applyFill="1" applyBorder="1" applyAlignment="1" applyProtection="1">
      <alignment horizontal="left"/>
    </xf>
    <xf numFmtId="0" fontId="23" fillId="0" borderId="0" xfId="12" applyFont="1" applyAlignment="1">
      <alignment horizontal="left"/>
    </xf>
    <xf numFmtId="167" fontId="23" fillId="0" borderId="0" xfId="12" applyNumberFormat="1" applyFont="1" applyAlignment="1">
      <alignment horizontal="left"/>
    </xf>
    <xf numFmtId="0" fontId="59" fillId="17" borderId="44" xfId="20" applyFont="1" applyFill="1" applyBorder="1" applyAlignment="1">
      <alignment horizontal="center" vertical="center" textRotation="180" wrapText="1"/>
    </xf>
    <xf numFmtId="0" fontId="59" fillId="17" borderId="45" xfId="20" applyFont="1" applyFill="1" applyBorder="1" applyAlignment="1">
      <alignment horizontal="center" vertical="center" textRotation="180" wrapText="1"/>
    </xf>
    <xf numFmtId="0" fontId="59" fillId="17" borderId="47" xfId="20" applyFont="1" applyFill="1" applyBorder="1" applyAlignment="1">
      <alignment horizontal="center" vertical="center" textRotation="180" wrapText="1"/>
    </xf>
    <xf numFmtId="0" fontId="56" fillId="0" borderId="56" xfId="3" applyFont="1" applyBorder="1" applyAlignment="1">
      <alignment horizontal="center" wrapText="1"/>
    </xf>
    <xf numFmtId="0" fontId="23" fillId="3" borderId="10"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45" fillId="0" borderId="45" xfId="3" applyFont="1" applyBorder="1" applyAlignment="1">
      <alignment horizontal="center" vertical="center" wrapText="1"/>
    </xf>
    <xf numFmtId="0" fontId="45" fillId="0" borderId="47" xfId="3" applyFont="1" applyBorder="1" applyAlignment="1">
      <alignment horizontal="center" vertical="center" wrapText="1"/>
    </xf>
    <xf numFmtId="0" fontId="45" fillId="0" borderId="49" xfId="3" applyFont="1" applyBorder="1" applyAlignment="1">
      <alignment horizontal="center" vertical="center" wrapText="1"/>
    </xf>
    <xf numFmtId="0" fontId="45" fillId="0" borderId="44" xfId="3" applyFont="1" applyBorder="1" applyAlignment="1">
      <alignment horizontal="center" vertical="center" wrapText="1"/>
    </xf>
    <xf numFmtId="0" fontId="23" fillId="3" borderId="42" xfId="3" applyFont="1" applyFill="1" applyBorder="1" applyAlignment="1">
      <alignment horizontal="center" vertical="center" wrapText="1"/>
    </xf>
    <xf numFmtId="0" fontId="24" fillId="0" borderId="50" xfId="3" applyFont="1" applyBorder="1" applyAlignment="1">
      <alignment horizontal="center" vertical="center" wrapText="1"/>
    </xf>
    <xf numFmtId="0" fontId="45" fillId="0" borderId="51" xfId="3" applyFont="1" applyFill="1" applyBorder="1" applyAlignment="1">
      <alignment horizontal="center" vertical="center"/>
    </xf>
    <xf numFmtId="0" fontId="45" fillId="0" borderId="49" xfId="3" applyFont="1" applyFill="1" applyBorder="1" applyAlignment="1">
      <alignment horizontal="center" vertical="center"/>
    </xf>
    <xf numFmtId="0" fontId="45" fillId="0" borderId="44" xfId="3" applyFont="1" applyBorder="1" applyAlignment="1">
      <alignment horizontal="center" vertical="center"/>
    </xf>
    <xf numFmtId="0" fontId="45" fillId="0" borderId="45" xfId="3" applyFont="1" applyBorder="1" applyAlignment="1">
      <alignment horizontal="center" vertical="center"/>
    </xf>
    <xf numFmtId="0" fontId="45" fillId="0" borderId="47" xfId="3" applyFont="1" applyBorder="1" applyAlignment="1">
      <alignment horizontal="center" vertical="center"/>
    </xf>
    <xf numFmtId="0" fontId="45" fillId="0" borderId="51" xfId="3" applyFont="1" applyBorder="1" applyAlignment="1">
      <alignment horizontal="center" vertical="center" wrapText="1"/>
    </xf>
    <xf numFmtId="0" fontId="45" fillId="0" borderId="42" xfId="3" applyFont="1" applyBorder="1" applyAlignment="1">
      <alignment horizontal="center" vertical="center" wrapText="1"/>
    </xf>
    <xf numFmtId="0" fontId="45" fillId="0" borderId="44" xfId="3" applyFont="1" applyFill="1" applyBorder="1" applyAlignment="1">
      <alignment horizontal="center" vertical="center" wrapText="1"/>
    </xf>
    <xf numFmtId="0" fontId="45" fillId="0" borderId="45" xfId="3" applyFont="1" applyFill="1" applyBorder="1" applyAlignment="1">
      <alignment horizontal="center" vertical="center" wrapText="1"/>
    </xf>
    <xf numFmtId="0" fontId="45" fillId="0" borderId="47" xfId="3" applyFont="1" applyFill="1" applyBorder="1" applyAlignment="1">
      <alignment horizontal="center" vertical="center" wrapText="1"/>
    </xf>
    <xf numFmtId="0" fontId="45" fillId="0" borderId="42" xfId="3" applyFont="1" applyFill="1" applyBorder="1" applyAlignment="1">
      <alignment horizontal="center" vertical="center"/>
    </xf>
  </cellXfs>
  <cellStyles count="26">
    <cellStyle name="Comma" xfId="1" builtinId="3"/>
    <cellStyle name="Comma 2" xfId="2" xr:uid="{00000000-0005-0000-0000-000001000000}"/>
    <cellStyle name="Comma 2 2" xfId="11" xr:uid="{00000000-0005-0000-0000-000002000000}"/>
    <cellStyle name="Comma0" xfId="19" xr:uid="{00000000-0005-0000-0000-000003000000}"/>
    <cellStyle name="Hyperlink" xfId="14" builtinId="8" customBuiltin="1"/>
    <cellStyle name="Hyperlink 2 2" xfId="23" xr:uid="{00000000-0005-0000-0000-000005000000}"/>
    <cellStyle name="Hyperlink 3" xfId="24" xr:uid="{00000000-0005-0000-0000-000006000000}"/>
    <cellStyle name="Hyperlink 3 2" xfId="21" xr:uid="{00000000-0005-0000-0000-000007000000}"/>
    <cellStyle name="Normal" xfId="0" builtinId="0"/>
    <cellStyle name="Normal 2" xfId="3" xr:uid="{00000000-0005-0000-0000-000009000000}"/>
    <cellStyle name="Normal 2 2" xfId="12" xr:uid="{00000000-0005-0000-0000-00000A000000}"/>
    <cellStyle name="Normal 2 2 2" xfId="17" xr:uid="{00000000-0005-0000-0000-00000B000000}"/>
    <cellStyle name="Normal 3" xfId="4" xr:uid="{00000000-0005-0000-0000-00000C000000}"/>
    <cellStyle name="Normal 3 2" xfId="15" xr:uid="{00000000-0005-0000-0000-00000D000000}"/>
    <cellStyle name="Normal 3 2 2" xfId="18" xr:uid="{00000000-0005-0000-0000-00000E000000}"/>
    <cellStyle name="Normal 4" xfId="16" xr:uid="{00000000-0005-0000-0000-00000F000000}"/>
    <cellStyle name="Normal 4 2" xfId="20" xr:uid="{00000000-0005-0000-0000-000010000000}"/>
    <cellStyle name="Normal 5 2" xfId="22" xr:uid="{00000000-0005-0000-0000-000011000000}"/>
    <cellStyle name="Normal 7" xfId="25" xr:uid="{00000000-0005-0000-0000-000012000000}"/>
    <cellStyle name="Normal_PREDICTED READINESS CALCULATOR (FRP GNFPP)" xfId="5" xr:uid="{00000000-0005-0000-0000-000013000000}"/>
    <cellStyle name="Normal_VF-VFA 18 May 01" xfId="6" xr:uid="{00000000-0005-0000-0000-000014000000}"/>
    <cellStyle name="Normal1" xfId="7" xr:uid="{00000000-0005-0000-0000-000015000000}"/>
    <cellStyle name="Normal2" xfId="8" xr:uid="{00000000-0005-0000-0000-000016000000}"/>
    <cellStyle name="Percent" xfId="9" builtinId="5"/>
    <cellStyle name="Percent 2" xfId="10" xr:uid="{00000000-0005-0000-0000-000018000000}"/>
    <cellStyle name="Percent 2 2" xfId="13" xr:uid="{00000000-0005-0000-0000-000019000000}"/>
  </cellStyles>
  <dxfs count="59">
    <dxf>
      <fill>
        <patternFill>
          <bgColor theme="9" tint="0.79998168889431442"/>
        </patternFill>
      </fill>
    </dxf>
    <dxf>
      <fill>
        <patternFill>
          <bgColor theme="0" tint="-0.24994659260841701"/>
        </patternFill>
      </fill>
    </dxf>
    <dxf>
      <font>
        <color rgb="FFFFFF99"/>
      </font>
    </dxf>
    <dxf>
      <font>
        <color rgb="FFFFFF99"/>
      </font>
    </dxf>
    <dxf>
      <font>
        <color rgb="FFFFFF9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FFFF99"/>
      </font>
    </dxf>
    <dxf>
      <font>
        <color rgb="FFFFFF99"/>
      </font>
    </dxf>
    <dxf>
      <font>
        <color rgb="FF66FF66"/>
      </font>
    </dxf>
    <dxf>
      <font>
        <color rgb="FFFFFF9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FFFF99"/>
      </font>
    </dxf>
    <dxf>
      <font>
        <color rgb="FFFFFF99"/>
      </font>
    </dxf>
    <dxf>
      <font>
        <color rgb="FF66FF66"/>
      </font>
    </dxf>
    <dxf>
      <font>
        <color rgb="FFFFFF99"/>
      </font>
    </dxf>
    <dxf>
      <font>
        <color rgb="FFFF7979"/>
      </font>
    </dxf>
    <dxf>
      <font>
        <color rgb="FFFFFF99"/>
      </font>
    </dxf>
    <dxf>
      <font>
        <color rgb="FF66FF66"/>
      </font>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39</xdr:row>
      <xdr:rowOff>0</xdr:rowOff>
    </xdr:to>
    <xdr:sp macro="" textlink="">
      <xdr:nvSpPr>
        <xdr:cNvPr id="2" name="Line 9">
          <a:extLst>
            <a:ext uri="{FF2B5EF4-FFF2-40B4-BE49-F238E27FC236}">
              <a16:creationId xmlns:a16="http://schemas.microsoft.com/office/drawing/2014/main" id="{00000000-0008-0000-0700-000002000000}"/>
            </a:ext>
          </a:extLst>
        </xdr:cNvPr>
        <xdr:cNvSpPr>
          <a:spLocks noChangeShapeType="1"/>
        </xdr:cNvSpPr>
      </xdr:nvSpPr>
      <xdr:spPr bwMode="auto">
        <a:xfrm>
          <a:off x="0" y="600075"/>
          <a:ext cx="0" cy="6276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cpf.portal.navy.mil/sites/cnap/N42/N422/Shared%20Documents/Forms/site.aspx?RootFolder=%2Fsites%2Fcnap%2FN42%2FN422%2FShared%20Documents%2FN422C%20NAMP%2FMESMs%20and%20MC%2DFMC%20Goa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2"/>
  <sheetViews>
    <sheetView showGridLines="0" tabSelected="1" workbookViewId="0">
      <selection activeCell="A2" sqref="A2"/>
    </sheetView>
  </sheetViews>
  <sheetFormatPr defaultRowHeight="12.75" x14ac:dyDescent="0.2"/>
  <cols>
    <col min="1" max="1" width="50.7109375" customWidth="1"/>
    <col min="2" max="2" width="22" customWidth="1"/>
    <col min="3" max="3" width="5.7109375" customWidth="1"/>
    <col min="4" max="4" width="10.140625" bestFit="1" customWidth="1"/>
  </cols>
  <sheetData>
    <row r="1" spans="1:5" s="152" customFormat="1" ht="15.75" thickBot="1" x14ac:dyDescent="0.3">
      <c r="A1" s="539" t="s">
        <v>0</v>
      </c>
      <c r="B1" s="540"/>
      <c r="C1" s="489" t="s">
        <v>1</v>
      </c>
      <c r="D1" s="155" t="s">
        <v>2</v>
      </c>
    </row>
    <row r="2" spans="1:5" s="152" customFormat="1" ht="15" x14ac:dyDescent="0.25">
      <c r="A2" s="404" t="str">
        <f>'VRC C-2A 2-ACFT DRRS(U)'!A1:D1</f>
        <v>Readiness Standards VRC C-2A  2-ACFT Det</v>
      </c>
      <c r="B2" s="336" t="s">
        <v>3</v>
      </c>
      <c r="C2" s="494">
        <f>'VRC C-2A 2-ACFT DRRS(U)'!AD1</f>
        <v>3.01</v>
      </c>
      <c r="D2" s="490">
        <f>'VRC C-2A 2-ACFT DRRS(U)'!N1</f>
        <v>44835</v>
      </c>
      <c r="E2" s="151" t="str">
        <f ca="1">IF(D2&gt;NOW()-90," ! NEW","")</f>
        <v/>
      </c>
    </row>
    <row r="3" spans="1:5" s="152" customFormat="1" ht="15" x14ac:dyDescent="0.25">
      <c r="A3" s="403" t="str">
        <f>'VRC C-2A FDNF DRRS(U)'!A1</f>
        <v>Readiness Standards VRC C-2A FDNF</v>
      </c>
      <c r="B3" s="337" t="s">
        <v>3</v>
      </c>
      <c r="C3" s="495">
        <f>'VRC C-2A FDNF DRRS(U)'!AD1</f>
        <v>3.02</v>
      </c>
      <c r="D3" s="491">
        <f>'VRC C-2A FDNF DRRS(U)'!N1</f>
        <v>44835</v>
      </c>
      <c r="E3" s="151" t="str">
        <f t="shared" ref="E3:E10" ca="1" si="0">IF(D3&gt;NOW()-90," ! NEW","")</f>
        <v/>
      </c>
    </row>
    <row r="4" spans="1:5" s="152" customFormat="1" ht="15" x14ac:dyDescent="0.25">
      <c r="A4" s="403" t="str">
        <f>'VRC (C-2A FRS)'!A1:F1</f>
        <v>Readiness Standards VRC C-2A FRS</v>
      </c>
      <c r="B4" s="337"/>
      <c r="C4" s="495">
        <f>'VRC (C-2A FRS)'!AD1</f>
        <v>3.03</v>
      </c>
      <c r="D4" s="491">
        <f>'VRC (C-2A FRS)'!J1</f>
        <v>44105</v>
      </c>
      <c r="E4" s="151" t="str">
        <f t="shared" ca="1" si="0"/>
        <v/>
      </c>
    </row>
    <row r="5" spans="1:5" s="152" customFormat="1" ht="15" x14ac:dyDescent="0.25">
      <c r="A5" s="403" t="str">
        <f>'VRC C-2A Reduced MET Matrix'!C2</f>
        <v>Navy C-2A TMS Reduced MET to Mission System Map</v>
      </c>
      <c r="B5" s="334"/>
      <c r="C5" s="495"/>
      <c r="D5" s="491">
        <f>'VRC C-2A Reduced MET Matrix'!B1</f>
        <v>43525</v>
      </c>
      <c r="E5" s="151" t="str">
        <f t="shared" ca="1" si="0"/>
        <v/>
      </c>
    </row>
    <row r="6" spans="1:5" s="152" customFormat="1" ht="15" x14ac:dyDescent="0.25">
      <c r="A6" s="403" t="str">
        <f>'C-2A Mission System Summary'!A1</f>
        <v>C-2A Mission System Utilization per Flight Task</v>
      </c>
      <c r="B6" s="334"/>
      <c r="C6" s="495"/>
      <c r="D6" s="491">
        <f>'C-2A Mission System Summary'!J1</f>
        <v>44825</v>
      </c>
      <c r="E6" s="151" t="str">
        <f t="shared" ca="1" si="0"/>
        <v/>
      </c>
    </row>
    <row r="7" spans="1:5" s="152" customFormat="1" ht="15" x14ac:dyDescent="0.25">
      <c r="A7" s="403" t="str">
        <f>'VRC C-2A Mission Systems'!A1</f>
        <v>Mission System Groups VRC C-2A</v>
      </c>
      <c r="B7" s="334"/>
      <c r="C7" s="495"/>
      <c r="D7" s="491">
        <f>'VRC C-2A Mission Systems'!E1</f>
        <v>43241</v>
      </c>
      <c r="E7" s="151" t="str">
        <f t="shared" ca="1" si="0"/>
        <v/>
      </c>
    </row>
    <row r="8" spans="1:5" s="152" customFormat="1" ht="15" x14ac:dyDescent="0.25">
      <c r="A8" s="403" t="s">
        <v>4</v>
      </c>
      <c r="B8" s="334"/>
      <c r="C8" s="495"/>
      <c r="D8" s="492"/>
      <c r="E8" s="151" t="str">
        <f ca="1">IF(D8&gt;NOW()-90," ! NEW","")</f>
        <v/>
      </c>
    </row>
    <row r="9" spans="1:5" s="152" customFormat="1" ht="15" x14ac:dyDescent="0.25">
      <c r="A9" s="153"/>
      <c r="B9" s="334"/>
      <c r="C9" s="495"/>
      <c r="D9" s="492"/>
      <c r="E9" s="151" t="str">
        <f t="shared" ca="1" si="0"/>
        <v/>
      </c>
    </row>
    <row r="10" spans="1:5" s="152" customFormat="1" ht="15.75" thickBot="1" x14ac:dyDescent="0.3">
      <c r="A10" s="405"/>
      <c r="B10" s="335"/>
      <c r="C10" s="496"/>
      <c r="D10" s="493"/>
      <c r="E10" s="151" t="str">
        <f t="shared" ca="1" si="0"/>
        <v/>
      </c>
    </row>
    <row r="11" spans="1:5" s="152" customFormat="1" ht="15" x14ac:dyDescent="0.25">
      <c r="E11" s="151"/>
    </row>
    <row r="12" spans="1:5" s="152" customFormat="1" ht="15" x14ac:dyDescent="0.25">
      <c r="E12" s="151"/>
    </row>
    <row r="13" spans="1:5" s="152" customFormat="1" ht="15" x14ac:dyDescent="0.25"/>
    <row r="14" spans="1:5" s="152" customFormat="1" ht="15" x14ac:dyDescent="0.25"/>
    <row r="15" spans="1:5" s="152" customFormat="1" ht="15" x14ac:dyDescent="0.25"/>
    <row r="16" spans="1:5" s="152" customFormat="1" ht="15" x14ac:dyDescent="0.25"/>
    <row r="17" spans="1:3" s="152" customFormat="1" ht="15" x14ac:dyDescent="0.25"/>
    <row r="18" spans="1:3" s="152" customFormat="1" ht="15" x14ac:dyDescent="0.25"/>
    <row r="19" spans="1:3" s="152" customFormat="1" ht="15" x14ac:dyDescent="0.25"/>
    <row r="20" spans="1:3" s="152" customFormat="1" ht="15" x14ac:dyDescent="0.25"/>
    <row r="21" spans="1:3" s="152" customFormat="1" ht="15" x14ac:dyDescent="0.25"/>
    <row r="22" spans="1:3" s="152" customFormat="1" ht="15" x14ac:dyDescent="0.25">
      <c r="A22" s="154" t="s">
        <v>5</v>
      </c>
      <c r="B22" s="154"/>
      <c r="C22" s="154"/>
    </row>
  </sheetData>
  <mergeCells count="1">
    <mergeCell ref="A1:B1"/>
  </mergeCells>
  <phoneticPr fontId="5" type="noConversion"/>
  <hyperlinks>
    <hyperlink ref="A2" location="'VRC C-2A 2-ACFT DRRS(U)'!A1" display="'VRC C-2A 2-ACFT DRRS(U)'!A1" xr:uid="{00000000-0004-0000-0000-000000000000}"/>
    <hyperlink ref="A3" location="'VRC C-2A FDNF DRRS(U)'!A1" display="'VRC C-2A FDNF DRRS(U)'!A1" xr:uid="{00000000-0004-0000-0000-000001000000}"/>
    <hyperlink ref="B2" location="'VRC C-2A 2-ACFT DRRS(U)'!A111" display="AMFOM" xr:uid="{00000000-0004-0000-0000-000002000000}"/>
    <hyperlink ref="B3" location="'VRC C-2A FDNF DRRS(U)'!A111" display="AMFOM" xr:uid="{00000000-0004-0000-0000-000003000000}"/>
    <hyperlink ref="A5" location="'VRC C-2A Reduced MET Matrix'!A1" display="'VRC C-2A Reduced MET Matrix'!A1" xr:uid="{00000000-0004-0000-0000-000004000000}"/>
    <hyperlink ref="A8" location="Definitions!A1" display="Definitions" xr:uid="{00000000-0004-0000-0000-000005000000}"/>
    <hyperlink ref="A7" location="'VRC C-2A Mission Systems'!A1" display="'VRC C-2A Mission Systems'!A1" xr:uid="{00000000-0004-0000-0000-000006000000}"/>
    <hyperlink ref="A4" location="'VRC (C-2A FRS)'!A1" display="'VRC (C-2A FRS)'!A1" xr:uid="{00000000-0004-0000-0000-000007000000}"/>
    <hyperlink ref="A6" location="'C-2A Mission System Summary'!A1" display="'C-2A Mission System Summary'!A1" xr:uid="{00000000-0004-0000-0000-000008000000}"/>
  </hyperlinks>
  <pageMargins left="0.75" right="0.75" top="1" bottom="1" header="0.5" footer="0.5"/>
  <pageSetup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9"/>
  <sheetViews>
    <sheetView showGridLines="0" workbookViewId="0">
      <selection activeCell="A24" sqref="A24:C25"/>
    </sheetView>
  </sheetViews>
  <sheetFormatPr defaultRowHeight="15" x14ac:dyDescent="0.25"/>
  <cols>
    <col min="1" max="1" width="11.140625" style="162" customWidth="1"/>
    <col min="2" max="2" width="35.28515625" style="162" customWidth="1"/>
    <col min="3" max="3" width="107" style="152" bestFit="1" customWidth="1"/>
    <col min="4" max="16384" width="9.140625" style="152"/>
  </cols>
  <sheetData>
    <row r="1" spans="1:4" x14ac:dyDescent="0.25">
      <c r="A1" s="156" t="s">
        <v>6</v>
      </c>
      <c r="B1" s="156" t="s">
        <v>7</v>
      </c>
      <c r="C1" s="157" t="s">
        <v>8</v>
      </c>
      <c r="D1" s="157"/>
    </row>
    <row r="2" spans="1:4" x14ac:dyDescent="0.25">
      <c r="A2" s="158">
        <v>41091</v>
      </c>
      <c r="B2" s="401" t="s">
        <v>9</v>
      </c>
      <c r="C2" s="463" t="s">
        <v>10</v>
      </c>
      <c r="D2" s="161"/>
    </row>
    <row r="3" spans="1:4" x14ac:dyDescent="0.25">
      <c r="A3" s="158">
        <v>41183</v>
      </c>
      <c r="B3" s="401" t="s">
        <v>11</v>
      </c>
      <c r="C3" s="283" t="s">
        <v>12</v>
      </c>
    </row>
    <row r="4" spans="1:4" x14ac:dyDescent="0.25">
      <c r="A4" s="158">
        <v>41426</v>
      </c>
      <c r="B4" s="402" t="s">
        <v>9</v>
      </c>
      <c r="C4" s="464" t="s">
        <v>13</v>
      </c>
    </row>
    <row r="5" spans="1:4" x14ac:dyDescent="0.25">
      <c r="A5" s="158">
        <v>41548</v>
      </c>
      <c r="B5" s="401" t="s">
        <v>11</v>
      </c>
      <c r="C5" s="283" t="s">
        <v>12</v>
      </c>
    </row>
    <row r="6" spans="1:4" x14ac:dyDescent="0.25">
      <c r="A6" s="158">
        <v>41913</v>
      </c>
      <c r="B6" s="401" t="s">
        <v>11</v>
      </c>
      <c r="C6" s="283" t="s">
        <v>12</v>
      </c>
    </row>
    <row r="7" spans="1:4" x14ac:dyDescent="0.25">
      <c r="A7" s="158">
        <v>42095</v>
      </c>
      <c r="B7" s="401" t="s">
        <v>14</v>
      </c>
      <c r="C7" s="283" t="s">
        <v>15</v>
      </c>
    </row>
    <row r="8" spans="1:4" ht="30" x14ac:dyDescent="0.25">
      <c r="A8" s="158">
        <v>42095</v>
      </c>
      <c r="B8" s="401" t="s">
        <v>9</v>
      </c>
      <c r="C8" s="283" t="s">
        <v>16</v>
      </c>
    </row>
    <row r="9" spans="1:4" x14ac:dyDescent="0.25">
      <c r="A9" s="158">
        <v>42095</v>
      </c>
      <c r="B9" s="401" t="s">
        <v>9</v>
      </c>
      <c r="C9" s="283" t="s">
        <v>17</v>
      </c>
    </row>
    <row r="10" spans="1:4" x14ac:dyDescent="0.25">
      <c r="A10" s="158">
        <v>42278</v>
      </c>
      <c r="B10" s="401" t="s">
        <v>11</v>
      </c>
      <c r="C10" s="283" t="s">
        <v>18</v>
      </c>
    </row>
    <row r="11" spans="1:4" x14ac:dyDescent="0.25">
      <c r="A11" s="158">
        <v>42644</v>
      </c>
      <c r="B11" s="401" t="s">
        <v>11</v>
      </c>
      <c r="C11" s="283" t="s">
        <v>12</v>
      </c>
    </row>
    <row r="12" spans="1:4" x14ac:dyDescent="0.25">
      <c r="A12" s="341">
        <v>42948</v>
      </c>
      <c r="B12" s="401" t="s">
        <v>11</v>
      </c>
      <c r="C12" s="465" t="s">
        <v>19</v>
      </c>
    </row>
    <row r="13" spans="1:4" x14ac:dyDescent="0.25">
      <c r="A13" s="158">
        <v>43009</v>
      </c>
      <c r="B13" s="401" t="s">
        <v>11</v>
      </c>
      <c r="C13" s="283" t="s">
        <v>12</v>
      </c>
    </row>
    <row r="14" spans="1:4" x14ac:dyDescent="0.25">
      <c r="A14" s="158">
        <v>43374</v>
      </c>
      <c r="B14" s="401" t="s">
        <v>11</v>
      </c>
      <c r="C14" s="283" t="s">
        <v>12</v>
      </c>
    </row>
    <row r="15" spans="1:4" x14ac:dyDescent="0.25">
      <c r="A15" s="158">
        <v>43435</v>
      </c>
      <c r="B15" s="401" t="s">
        <v>9</v>
      </c>
      <c r="C15" s="283" t="s">
        <v>20</v>
      </c>
    </row>
    <row r="16" spans="1:4" x14ac:dyDescent="0.25">
      <c r="A16" s="158">
        <v>43435</v>
      </c>
      <c r="B16" s="401" t="s">
        <v>9</v>
      </c>
      <c r="C16" s="283" t="s">
        <v>21</v>
      </c>
    </row>
    <row r="17" spans="1:3" x14ac:dyDescent="0.25">
      <c r="A17" s="158">
        <v>43435</v>
      </c>
      <c r="B17" s="401" t="s">
        <v>9</v>
      </c>
      <c r="C17" s="463" t="s">
        <v>22</v>
      </c>
    </row>
    <row r="18" spans="1:3" x14ac:dyDescent="0.25">
      <c r="A18" s="158">
        <v>43435</v>
      </c>
      <c r="B18" s="401" t="s">
        <v>9</v>
      </c>
      <c r="C18" s="463" t="s">
        <v>23</v>
      </c>
    </row>
    <row r="19" spans="1:3" ht="30" x14ac:dyDescent="0.25">
      <c r="A19" s="158">
        <v>43435</v>
      </c>
      <c r="B19" s="466" t="s">
        <v>24</v>
      </c>
      <c r="C19" s="283" t="s">
        <v>25</v>
      </c>
    </row>
    <row r="20" spans="1:3" ht="30" x14ac:dyDescent="0.25">
      <c r="A20" s="158">
        <v>43525</v>
      </c>
      <c r="B20" s="466" t="s">
        <v>26</v>
      </c>
      <c r="C20" s="283" t="s">
        <v>27</v>
      </c>
    </row>
    <row r="21" spans="1:3" x14ac:dyDescent="0.25">
      <c r="A21" s="158">
        <v>43952</v>
      </c>
      <c r="B21" s="401" t="s">
        <v>28</v>
      </c>
      <c r="C21" s="283" t="s">
        <v>29</v>
      </c>
    </row>
    <row r="22" spans="1:3" x14ac:dyDescent="0.25">
      <c r="A22" s="482">
        <v>43862</v>
      </c>
      <c r="B22" s="483" t="s">
        <v>30</v>
      </c>
      <c r="C22" s="484" t="s">
        <v>31</v>
      </c>
    </row>
    <row r="23" spans="1:3" x14ac:dyDescent="0.25">
      <c r="A23" s="482">
        <v>44805</v>
      </c>
      <c r="B23" s="511" t="s">
        <v>32</v>
      </c>
      <c r="C23" s="283" t="s">
        <v>33</v>
      </c>
    </row>
    <row r="24" spans="1:3" x14ac:dyDescent="0.25">
      <c r="A24" s="482">
        <v>44835</v>
      </c>
      <c r="B24" s="483" t="s">
        <v>9</v>
      </c>
      <c r="C24" s="283" t="s">
        <v>34</v>
      </c>
    </row>
    <row r="25" spans="1:3" x14ac:dyDescent="0.25">
      <c r="A25" s="158">
        <v>44835</v>
      </c>
      <c r="B25" s="510" t="s">
        <v>9</v>
      </c>
      <c r="C25" s="283" t="s">
        <v>35</v>
      </c>
    </row>
    <row r="26" spans="1:3" x14ac:dyDescent="0.25">
      <c r="A26" s="159"/>
      <c r="B26" s="401"/>
      <c r="C26" s="283"/>
    </row>
    <row r="27" spans="1:3" x14ac:dyDescent="0.25">
      <c r="A27" s="159"/>
      <c r="B27" s="159"/>
      <c r="C27" s="483"/>
    </row>
    <row r="28" spans="1:3" x14ac:dyDescent="0.25">
      <c r="A28" s="159"/>
      <c r="B28" s="159"/>
      <c r="C28" s="483"/>
    </row>
    <row r="29" spans="1:3" x14ac:dyDescent="0.25">
      <c r="A29" s="159"/>
      <c r="B29" s="159"/>
      <c r="C29" s="483"/>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1">
    <pageSetUpPr fitToPage="1"/>
  </sheetPr>
  <dimension ref="A1:AV138"/>
  <sheetViews>
    <sheetView showGridLines="0" topLeftCell="A21" zoomScaleNormal="100" workbookViewId="0">
      <selection activeCell="AC46" sqref="B46:AC47"/>
    </sheetView>
  </sheetViews>
  <sheetFormatPr defaultRowHeight="12" x14ac:dyDescent="0.2"/>
  <cols>
    <col min="1" max="1" width="39.42578125" style="206" bestFit="1" customWidth="1"/>
    <col min="2" max="31" width="5.7109375" style="206" customWidth="1"/>
    <col min="32" max="32" width="9.140625" style="206"/>
    <col min="33" max="33" width="18.28515625" style="206" bestFit="1" customWidth="1"/>
    <col min="34" max="34" width="12.42578125" style="206" customWidth="1"/>
    <col min="35" max="16384" width="9.140625" style="206"/>
  </cols>
  <sheetData>
    <row r="1" spans="1:35" s="163" customFormat="1" ht="18.75" x14ac:dyDescent="0.3">
      <c r="A1" s="564" t="s">
        <v>36</v>
      </c>
      <c r="B1" s="565"/>
      <c r="C1" s="565"/>
      <c r="D1" s="565"/>
      <c r="E1" s="565"/>
      <c r="F1" s="565"/>
      <c r="G1" s="565"/>
      <c r="H1" s="164" t="s">
        <v>37</v>
      </c>
      <c r="M1" s="1" t="s">
        <v>38</v>
      </c>
      <c r="N1" s="561">
        <v>44835</v>
      </c>
      <c r="O1" s="562"/>
      <c r="P1" s="563"/>
      <c r="Q1" s="563"/>
      <c r="R1" s="165"/>
      <c r="S1" s="166"/>
      <c r="T1" s="166"/>
      <c r="AC1" s="485" t="s">
        <v>39</v>
      </c>
      <c r="AD1" s="544">
        <v>3.01</v>
      </c>
      <c r="AE1" s="544"/>
    </row>
    <row r="2" spans="1:35" s="169" customFormat="1" ht="12.75" x14ac:dyDescent="0.2">
      <c r="A2" s="19" t="s">
        <v>40</v>
      </c>
      <c r="B2" s="18">
        <v>2</v>
      </c>
      <c r="C2" s="167"/>
      <c r="D2" s="167"/>
      <c r="E2" s="167"/>
      <c r="F2" s="167"/>
      <c r="G2" s="168"/>
      <c r="H2" s="164" t="s">
        <v>3</v>
      </c>
      <c r="I2" s="168"/>
      <c r="J2" s="168"/>
      <c r="K2" s="167"/>
      <c r="L2" s="167"/>
      <c r="M2" s="167"/>
      <c r="N2" s="167"/>
      <c r="O2" s="167"/>
      <c r="P2" s="167"/>
      <c r="Q2" s="167"/>
      <c r="R2" s="167"/>
      <c r="S2" s="167"/>
      <c r="T2" s="167"/>
      <c r="U2" s="167"/>
      <c r="V2" s="167"/>
      <c r="W2" s="167"/>
      <c r="X2" s="167"/>
      <c r="Y2" s="167"/>
      <c r="Z2" s="167"/>
      <c r="AA2" s="167"/>
      <c r="AB2" s="167"/>
      <c r="AC2" s="167"/>
      <c r="AD2" s="168"/>
      <c r="AE2" s="168"/>
    </row>
    <row r="3" spans="1:35" s="169" customFormat="1" x14ac:dyDescent="0.2">
      <c r="A3" s="19" t="s">
        <v>41</v>
      </c>
      <c r="B3" s="20">
        <v>1.5</v>
      </c>
      <c r="C3" s="167"/>
      <c r="D3" s="167"/>
      <c r="E3" s="167"/>
      <c r="F3" s="167"/>
      <c r="G3" s="167"/>
      <c r="H3" s="167"/>
      <c r="I3" s="168"/>
      <c r="J3" s="168"/>
      <c r="K3" s="168"/>
      <c r="L3" s="168"/>
      <c r="M3" s="167"/>
      <c r="N3" s="167"/>
      <c r="O3" s="167"/>
      <c r="P3" s="167"/>
      <c r="Q3" s="167"/>
      <c r="R3" s="167"/>
      <c r="S3" s="167"/>
      <c r="T3" s="167"/>
      <c r="U3" s="167"/>
      <c r="V3" s="167"/>
      <c r="W3" s="167"/>
      <c r="X3" s="167"/>
      <c r="Y3" s="167"/>
      <c r="Z3" s="167"/>
      <c r="AA3" s="167"/>
      <c r="AB3" s="167"/>
      <c r="AC3" s="167"/>
      <c r="AD3" s="168"/>
      <c r="AE3" s="168"/>
    </row>
    <row r="4" spans="1:35" s="169" customFormat="1" x14ac:dyDescent="0.2">
      <c r="A4" s="19" t="s">
        <v>42</v>
      </c>
      <c r="B4" s="18">
        <f>ROUND(B2*B3,0)</f>
        <v>3</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8"/>
      <c r="AE4" s="168"/>
    </row>
    <row r="5" spans="1:35" s="169" customFormat="1" x14ac:dyDescent="0.2">
      <c r="A5" s="19" t="s">
        <v>43</v>
      </c>
      <c r="B5" s="20">
        <v>1.5</v>
      </c>
      <c r="C5" s="170"/>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8"/>
      <c r="AE5" s="168"/>
    </row>
    <row r="6" spans="1:35" s="169" customFormat="1" x14ac:dyDescent="0.2">
      <c r="A6" s="21" t="s">
        <v>44</v>
      </c>
      <c r="B6" s="20">
        <v>13.4</v>
      </c>
      <c r="C6" s="170"/>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8"/>
      <c r="AE6" s="168"/>
    </row>
    <row r="7" spans="1:35" s="169" customFormat="1" x14ac:dyDescent="0.2">
      <c r="A7" s="19" t="s">
        <v>45</v>
      </c>
      <c r="B7" s="20">
        <f>B6*B4</f>
        <v>40.200000000000003</v>
      </c>
      <c r="C7" s="168"/>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8"/>
      <c r="AE7" s="168"/>
    </row>
    <row r="8" spans="1:35" s="169" customFormat="1" x14ac:dyDescent="0.2">
      <c r="A8" s="19" t="s">
        <v>46</v>
      </c>
      <c r="B8" s="20">
        <f>B7/B5</f>
        <v>26.8</v>
      </c>
      <c r="C8" s="167"/>
      <c r="D8" s="168"/>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8"/>
      <c r="AE8" s="168"/>
    </row>
    <row r="9" spans="1:35" s="169" customFormat="1" x14ac:dyDescent="0.2">
      <c r="A9" s="19" t="s">
        <v>47</v>
      </c>
      <c r="B9" s="22">
        <f>B4*C9</f>
        <v>20.100000000000001</v>
      </c>
      <c r="C9" s="22">
        <v>6.7</v>
      </c>
      <c r="D9" s="23" t="s">
        <v>48</v>
      </c>
      <c r="E9" s="24"/>
      <c r="F9" s="24"/>
      <c r="G9" s="171" t="s">
        <v>49</v>
      </c>
      <c r="H9" s="172">
        <v>0.4</v>
      </c>
      <c r="I9" s="167"/>
      <c r="J9" s="167"/>
      <c r="K9" s="167"/>
      <c r="L9" s="167"/>
      <c r="M9" s="167"/>
      <c r="N9" s="167"/>
      <c r="O9" s="167"/>
      <c r="P9" s="167"/>
      <c r="Q9" s="167"/>
      <c r="R9" s="167"/>
      <c r="S9" s="167"/>
      <c r="T9" s="167"/>
      <c r="U9" s="167"/>
      <c r="V9" s="167"/>
      <c r="W9" s="167"/>
      <c r="X9" s="167"/>
      <c r="Y9" s="167"/>
      <c r="Z9" s="167"/>
      <c r="AA9" s="167"/>
      <c r="AB9" s="167"/>
      <c r="AC9" s="167"/>
      <c r="AD9" s="168"/>
      <c r="AE9" s="168"/>
    </row>
    <row r="10" spans="1:35" s="169" customFormat="1" x14ac:dyDescent="0.2">
      <c r="A10" s="19" t="s">
        <v>50</v>
      </c>
      <c r="B10" s="22">
        <f>B4*C10</f>
        <v>99.999899999999997</v>
      </c>
      <c r="C10" s="22">
        <v>33.333300000000001</v>
      </c>
      <c r="D10" s="23" t="s">
        <v>48</v>
      </c>
      <c r="E10" s="23"/>
      <c r="F10" s="23"/>
      <c r="G10" s="173" t="s">
        <v>51</v>
      </c>
      <c r="H10" s="172">
        <v>1.9E-2</v>
      </c>
      <c r="I10" s="167"/>
      <c r="J10" s="167"/>
      <c r="K10" s="167"/>
      <c r="L10" s="167"/>
      <c r="M10" s="167"/>
      <c r="N10" s="167"/>
      <c r="O10" s="167"/>
      <c r="P10" s="167"/>
      <c r="Q10" s="167"/>
      <c r="R10" s="167"/>
      <c r="S10" s="167"/>
      <c r="T10" s="167"/>
      <c r="U10" s="167"/>
      <c r="V10" s="167"/>
      <c r="W10" s="167"/>
      <c r="X10" s="167"/>
      <c r="Y10" s="167"/>
      <c r="Z10" s="167"/>
      <c r="AA10" s="167"/>
      <c r="AB10" s="167"/>
      <c r="AC10" s="167"/>
      <c r="AD10" s="168"/>
      <c r="AE10" s="168"/>
    </row>
    <row r="11" spans="1:35" s="169" customFormat="1" x14ac:dyDescent="0.2">
      <c r="A11" s="258" t="s">
        <v>52</v>
      </c>
      <c r="B11" s="259">
        <f>C11*B4</f>
        <v>0</v>
      </c>
      <c r="C11" s="260">
        <v>0</v>
      </c>
      <c r="D11" s="261" t="s">
        <v>48</v>
      </c>
      <c r="E11" s="66"/>
      <c r="F11" s="23"/>
      <c r="G11" s="173"/>
      <c r="H11" s="172"/>
      <c r="I11" s="167"/>
      <c r="J11" s="167"/>
      <c r="K11" s="167"/>
      <c r="L11" s="167"/>
      <c r="M11" s="167"/>
      <c r="N11" s="167"/>
      <c r="O11" s="167"/>
      <c r="P11" s="167"/>
      <c r="Q11" s="167"/>
      <c r="R11" s="167"/>
      <c r="S11" s="167"/>
      <c r="T11" s="167"/>
      <c r="U11" s="167"/>
      <c r="V11" s="167"/>
      <c r="W11" s="167"/>
      <c r="X11" s="167"/>
      <c r="Y11" s="167"/>
      <c r="Z11" s="167"/>
      <c r="AA11" s="167"/>
      <c r="AB11" s="167"/>
      <c r="AC11" s="167"/>
      <c r="AD11" s="168"/>
      <c r="AE11" s="168"/>
    </row>
    <row r="12" spans="1:35" s="169" customFormat="1" x14ac:dyDescent="0.2">
      <c r="A12" s="174"/>
      <c r="B12" s="168"/>
      <c r="C12" s="167"/>
      <c r="D12" s="170"/>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8"/>
      <c r="AE12" s="168"/>
    </row>
    <row r="13" spans="1:35" s="178" customFormat="1" ht="59.25" x14ac:dyDescent="0.2">
      <c r="A13" s="175" t="s">
        <v>53</v>
      </c>
      <c r="B13" s="176" t="s">
        <v>54</v>
      </c>
      <c r="C13" s="176" t="s">
        <v>54</v>
      </c>
      <c r="D13" s="176" t="s">
        <v>54</v>
      </c>
      <c r="E13" s="176" t="s">
        <v>54</v>
      </c>
      <c r="F13" s="176" t="s">
        <v>54</v>
      </c>
      <c r="G13" s="176" t="s">
        <v>54</v>
      </c>
      <c r="H13" s="176" t="s">
        <v>55</v>
      </c>
      <c r="I13" s="176" t="s">
        <v>55</v>
      </c>
      <c r="J13" s="176" t="s">
        <v>55</v>
      </c>
      <c r="K13" s="176" t="s">
        <v>56</v>
      </c>
      <c r="L13" s="176" t="s">
        <v>57</v>
      </c>
      <c r="M13" s="176" t="s">
        <v>57</v>
      </c>
      <c r="N13" s="176" t="s">
        <v>58</v>
      </c>
      <c r="O13" s="176" t="s">
        <v>58</v>
      </c>
      <c r="P13" s="176" t="s">
        <v>58</v>
      </c>
      <c r="Q13" s="176" t="s">
        <v>58</v>
      </c>
      <c r="R13" s="176" t="s">
        <v>59</v>
      </c>
      <c r="S13" s="176" t="s">
        <v>59</v>
      </c>
      <c r="T13" s="176" t="s">
        <v>59</v>
      </c>
      <c r="U13" s="176" t="s">
        <v>59</v>
      </c>
      <c r="V13" s="176" t="s">
        <v>59</v>
      </c>
      <c r="W13" s="176" t="s">
        <v>59</v>
      </c>
      <c r="X13" s="176" t="s">
        <v>58</v>
      </c>
      <c r="Y13" s="176" t="s">
        <v>58</v>
      </c>
      <c r="Z13" s="176" t="s">
        <v>58</v>
      </c>
      <c r="AA13" s="176" t="s">
        <v>58</v>
      </c>
      <c r="AB13" s="176" t="s">
        <v>58</v>
      </c>
      <c r="AC13" s="177" t="s">
        <v>60</v>
      </c>
      <c r="AD13" s="176" t="s">
        <v>54</v>
      </c>
      <c r="AE13" s="176" t="s">
        <v>54</v>
      </c>
    </row>
    <row r="14" spans="1:35" s="178" customFormat="1" x14ac:dyDescent="0.2">
      <c r="A14" s="175" t="s">
        <v>61</v>
      </c>
      <c r="B14" s="537" t="s">
        <v>62</v>
      </c>
      <c r="C14" s="537" t="s">
        <v>63</v>
      </c>
      <c r="D14" s="537" t="s">
        <v>64</v>
      </c>
      <c r="E14" s="537" t="s">
        <v>65</v>
      </c>
      <c r="F14" s="537" t="s">
        <v>66</v>
      </c>
      <c r="G14" s="537" t="s">
        <v>67</v>
      </c>
      <c r="H14" s="537" t="s">
        <v>68</v>
      </c>
      <c r="I14" s="537" t="s">
        <v>69</v>
      </c>
      <c r="J14" s="537" t="s">
        <v>70</v>
      </c>
      <c r="K14" s="537" t="s">
        <v>71</v>
      </c>
      <c r="L14" s="537" t="s">
        <v>72</v>
      </c>
      <c r="M14" s="537" t="s">
        <v>73</v>
      </c>
      <c r="N14" s="537" t="s">
        <v>74</v>
      </c>
      <c r="O14" s="537" t="s">
        <v>75</v>
      </c>
      <c r="P14" s="537" t="s">
        <v>76</v>
      </c>
      <c r="Q14" s="537" t="s">
        <v>77</v>
      </c>
      <c r="R14" s="537" t="s">
        <v>78</v>
      </c>
      <c r="S14" s="537" t="s">
        <v>79</v>
      </c>
      <c r="T14" s="537" t="s">
        <v>80</v>
      </c>
      <c r="U14" s="537" t="s">
        <v>81</v>
      </c>
      <c r="V14" s="537" t="s">
        <v>82</v>
      </c>
      <c r="W14" s="537" t="s">
        <v>83</v>
      </c>
      <c r="X14" s="537" t="s">
        <v>84</v>
      </c>
      <c r="Y14" s="537" t="s">
        <v>85</v>
      </c>
      <c r="Z14" s="537" t="s">
        <v>86</v>
      </c>
      <c r="AA14" s="537" t="s">
        <v>87</v>
      </c>
      <c r="AB14" s="537" t="s">
        <v>88</v>
      </c>
      <c r="AC14" s="179" t="s">
        <v>89</v>
      </c>
      <c r="AD14" s="537" t="s">
        <v>90</v>
      </c>
      <c r="AE14" s="537" t="s">
        <v>91</v>
      </c>
      <c r="AF14" s="180">
        <v>1</v>
      </c>
    </row>
    <row r="15" spans="1:35" s="169" customFormat="1" x14ac:dyDescent="0.2">
      <c r="A15" s="175" t="s">
        <v>92</v>
      </c>
      <c r="B15" s="537">
        <v>1</v>
      </c>
      <c r="C15" s="537">
        <v>2</v>
      </c>
      <c r="D15" s="537">
        <v>3</v>
      </c>
      <c r="E15" s="537">
        <v>4</v>
      </c>
      <c r="F15" s="537">
        <v>5</v>
      </c>
      <c r="G15" s="537">
        <v>6</v>
      </c>
      <c r="H15" s="537">
        <v>7</v>
      </c>
      <c r="I15" s="537">
        <v>8</v>
      </c>
      <c r="J15" s="537">
        <v>9</v>
      </c>
      <c r="K15" s="537">
        <v>10</v>
      </c>
      <c r="L15" s="537">
        <v>11</v>
      </c>
      <c r="M15" s="537">
        <v>12</v>
      </c>
      <c r="N15" s="537">
        <v>13</v>
      </c>
      <c r="O15" s="537">
        <v>14</v>
      </c>
      <c r="P15" s="537">
        <v>15</v>
      </c>
      <c r="Q15" s="537">
        <v>16</v>
      </c>
      <c r="R15" s="537">
        <v>17</v>
      </c>
      <c r="S15" s="537">
        <v>18</v>
      </c>
      <c r="T15" s="537">
        <v>19</v>
      </c>
      <c r="U15" s="537">
        <v>20</v>
      </c>
      <c r="V15" s="537">
        <v>21</v>
      </c>
      <c r="W15" s="537">
        <v>22</v>
      </c>
      <c r="X15" s="537">
        <v>23</v>
      </c>
      <c r="Y15" s="537">
        <v>24</v>
      </c>
      <c r="Z15" s="537">
        <v>25</v>
      </c>
      <c r="AA15" s="537">
        <v>26</v>
      </c>
      <c r="AB15" s="537">
        <v>27</v>
      </c>
      <c r="AC15" s="179">
        <v>28</v>
      </c>
      <c r="AD15" s="537">
        <v>30</v>
      </c>
      <c r="AE15" s="537">
        <v>31</v>
      </c>
      <c r="AF15" s="180">
        <f>AF14+1</f>
        <v>2</v>
      </c>
    </row>
    <row r="16" spans="1:35" s="169" customFormat="1" x14ac:dyDescent="0.2">
      <c r="A16" s="175" t="s">
        <v>93</v>
      </c>
      <c r="B16" s="543" t="s">
        <v>94</v>
      </c>
      <c r="C16" s="543"/>
      <c r="D16" s="543"/>
      <c r="E16" s="543"/>
      <c r="F16" s="542" t="s">
        <v>95</v>
      </c>
      <c r="G16" s="542"/>
      <c r="H16" s="542"/>
      <c r="I16" s="542"/>
      <c r="J16" s="542"/>
      <c r="K16" s="542" t="s">
        <v>96</v>
      </c>
      <c r="L16" s="542"/>
      <c r="M16" s="542"/>
      <c r="N16" s="542" t="s">
        <v>58</v>
      </c>
      <c r="O16" s="542"/>
      <c r="P16" s="542"/>
      <c r="Q16" s="542"/>
      <c r="R16" s="542" t="s">
        <v>97</v>
      </c>
      <c r="S16" s="542"/>
      <c r="T16" s="542"/>
      <c r="U16" s="542"/>
      <c r="V16" s="542"/>
      <c r="W16" s="542"/>
      <c r="X16" s="542" t="s">
        <v>98</v>
      </c>
      <c r="Y16" s="542"/>
      <c r="Z16" s="542"/>
      <c r="AA16" s="542"/>
      <c r="AB16" s="542"/>
      <c r="AC16" s="179" t="s">
        <v>99</v>
      </c>
      <c r="AD16" s="181" t="s">
        <v>100</v>
      </c>
      <c r="AE16" s="181" t="s">
        <v>100</v>
      </c>
      <c r="AF16" s="180">
        <f t="shared" ref="AF16:AF47" si="0">AF15+1</f>
        <v>3</v>
      </c>
      <c r="AI16" s="9"/>
    </row>
    <row r="17" spans="1:48" s="169" customFormat="1" ht="12.75" x14ac:dyDescent="0.2">
      <c r="A17" s="30" t="s">
        <v>101</v>
      </c>
      <c r="B17" s="31"/>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182"/>
      <c r="AD17" s="183"/>
      <c r="AE17" s="184"/>
      <c r="AF17" s="180">
        <f t="shared" si="0"/>
        <v>4</v>
      </c>
    </row>
    <row r="18" spans="1:48" s="169" customFormat="1" x14ac:dyDescent="0.2">
      <c r="A18" s="185" t="s">
        <v>102</v>
      </c>
      <c r="B18" s="186">
        <f>IF(B66&lt;80,B67,MIN(B66,80))</f>
        <v>0</v>
      </c>
      <c r="C18" s="186">
        <f t="shared" ref="C18:AC18" si="1">IF(C66&lt;80,C67,MIN(C66,80))</f>
        <v>0</v>
      </c>
      <c r="D18" s="186">
        <f t="shared" si="1"/>
        <v>0</v>
      </c>
      <c r="E18" s="186">
        <f t="shared" si="1"/>
        <v>0</v>
      </c>
      <c r="F18" s="186">
        <f t="shared" si="1"/>
        <v>0</v>
      </c>
      <c r="G18" s="186">
        <f t="shared" si="1"/>
        <v>0.34824545979032351</v>
      </c>
      <c r="H18" s="186">
        <f t="shared" si="1"/>
        <v>2.3482454597903235</v>
      </c>
      <c r="I18" s="186">
        <f t="shared" si="1"/>
        <v>2.3482454597903235</v>
      </c>
      <c r="J18" s="186">
        <f t="shared" si="1"/>
        <v>12.348245459790324</v>
      </c>
      <c r="K18" s="186">
        <f t="shared" si="1"/>
        <v>37.34824545979032</v>
      </c>
      <c r="L18" s="186">
        <f t="shared" si="1"/>
        <v>80</v>
      </c>
      <c r="M18" s="186">
        <f t="shared" si="1"/>
        <v>80</v>
      </c>
      <c r="N18" s="186">
        <f t="shared" si="1"/>
        <v>80</v>
      </c>
      <c r="O18" s="186">
        <f t="shared" si="1"/>
        <v>80</v>
      </c>
      <c r="P18" s="186">
        <f t="shared" si="1"/>
        <v>80</v>
      </c>
      <c r="Q18" s="186">
        <f t="shared" si="1"/>
        <v>80</v>
      </c>
      <c r="R18" s="186">
        <f t="shared" si="1"/>
        <v>80</v>
      </c>
      <c r="S18" s="186">
        <f t="shared" si="1"/>
        <v>80</v>
      </c>
      <c r="T18" s="186">
        <f t="shared" si="1"/>
        <v>80</v>
      </c>
      <c r="U18" s="186">
        <f t="shared" si="1"/>
        <v>80</v>
      </c>
      <c r="V18" s="186">
        <f t="shared" si="1"/>
        <v>80</v>
      </c>
      <c r="W18" s="186">
        <f t="shared" si="1"/>
        <v>80</v>
      </c>
      <c r="X18" s="186">
        <f t="shared" si="1"/>
        <v>80</v>
      </c>
      <c r="Y18" s="186">
        <f t="shared" si="1"/>
        <v>80</v>
      </c>
      <c r="Z18" s="186">
        <f t="shared" si="1"/>
        <v>80</v>
      </c>
      <c r="AA18" s="186">
        <f t="shared" si="1"/>
        <v>61.34824545979032</v>
      </c>
      <c r="AB18" s="186">
        <f t="shared" si="1"/>
        <v>42.34824545979032</v>
      </c>
      <c r="AC18" s="186">
        <f t="shared" si="1"/>
        <v>0</v>
      </c>
      <c r="AD18" s="187"/>
      <c r="AE18" s="188"/>
      <c r="AF18" s="180">
        <f t="shared" si="0"/>
        <v>5</v>
      </c>
    </row>
    <row r="19" spans="1:48" s="192" customFormat="1" x14ac:dyDescent="0.2">
      <c r="A19" s="189" t="s">
        <v>103</v>
      </c>
      <c r="B19" s="270">
        <v>0.5</v>
      </c>
      <c r="C19" s="270">
        <v>0.5</v>
      </c>
      <c r="D19" s="270">
        <v>0.5</v>
      </c>
      <c r="E19" s="270">
        <v>0.5</v>
      </c>
      <c r="F19" s="270">
        <v>0.5</v>
      </c>
      <c r="G19" s="270">
        <v>0.5</v>
      </c>
      <c r="H19" s="270">
        <v>0.55000000000000004</v>
      </c>
      <c r="I19" s="270">
        <v>0.6</v>
      </c>
      <c r="J19" s="270">
        <v>0.65</v>
      </c>
      <c r="K19" s="270">
        <v>0.7</v>
      </c>
      <c r="L19" s="270">
        <v>0.7</v>
      </c>
      <c r="M19" s="270">
        <v>0.7</v>
      </c>
      <c r="N19" s="270">
        <v>0.7</v>
      </c>
      <c r="O19" s="270">
        <v>0.7</v>
      </c>
      <c r="P19" s="270">
        <v>0.7</v>
      </c>
      <c r="Q19" s="270">
        <v>0.4</v>
      </c>
      <c r="R19" s="270">
        <v>0.8</v>
      </c>
      <c r="S19" s="270">
        <v>0.8</v>
      </c>
      <c r="T19" s="270">
        <v>0.8</v>
      </c>
      <c r="U19" s="270">
        <v>0.8</v>
      </c>
      <c r="V19" s="270">
        <v>0.8</v>
      </c>
      <c r="W19" s="270">
        <v>0.7</v>
      </c>
      <c r="X19" s="270">
        <v>0.4</v>
      </c>
      <c r="Y19" s="270">
        <v>0.6</v>
      </c>
      <c r="Z19" s="270">
        <v>0.6</v>
      </c>
      <c r="AA19" s="270">
        <v>0.6</v>
      </c>
      <c r="AB19" s="270">
        <v>0.6</v>
      </c>
      <c r="AC19" s="271">
        <v>0.4</v>
      </c>
      <c r="AD19" s="191">
        <v>0.5</v>
      </c>
      <c r="AE19" s="269">
        <v>0.5</v>
      </c>
      <c r="AF19" s="180">
        <f t="shared" si="0"/>
        <v>6</v>
      </c>
    </row>
    <row r="20" spans="1:48" s="192" customFormat="1" x14ac:dyDescent="0.2">
      <c r="A20" s="262" t="s">
        <v>104</v>
      </c>
      <c r="B20" s="255"/>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190"/>
      <c r="AD20" s="269"/>
      <c r="AE20" s="269"/>
      <c r="AF20" s="180">
        <f t="shared" si="0"/>
        <v>7</v>
      </c>
    </row>
    <row r="21" spans="1:48" s="169" customFormat="1" x14ac:dyDescent="0.2">
      <c r="A21" s="263" t="s">
        <v>105</v>
      </c>
      <c r="B21" s="272">
        <f t="shared" ref="B21:AB21" si="2">B19*$B$8</f>
        <v>13.4</v>
      </c>
      <c r="C21" s="272">
        <f t="shared" si="2"/>
        <v>13.4</v>
      </c>
      <c r="D21" s="272">
        <f t="shared" si="2"/>
        <v>13.4</v>
      </c>
      <c r="E21" s="272">
        <f t="shared" si="2"/>
        <v>13.4</v>
      </c>
      <c r="F21" s="272">
        <f t="shared" si="2"/>
        <v>13.4</v>
      </c>
      <c r="G21" s="272">
        <f t="shared" si="2"/>
        <v>13.4</v>
      </c>
      <c r="H21" s="272">
        <f t="shared" si="2"/>
        <v>14.740000000000002</v>
      </c>
      <c r="I21" s="272">
        <f t="shared" si="2"/>
        <v>16.079999999999998</v>
      </c>
      <c r="J21" s="272">
        <f t="shared" si="2"/>
        <v>17.420000000000002</v>
      </c>
      <c r="K21" s="272">
        <f t="shared" si="2"/>
        <v>18.759999999999998</v>
      </c>
      <c r="L21" s="272">
        <f t="shared" si="2"/>
        <v>18.759999999999998</v>
      </c>
      <c r="M21" s="272">
        <f t="shared" si="2"/>
        <v>18.759999999999998</v>
      </c>
      <c r="N21" s="272">
        <f t="shared" si="2"/>
        <v>18.759999999999998</v>
      </c>
      <c r="O21" s="272">
        <f t="shared" si="2"/>
        <v>18.759999999999998</v>
      </c>
      <c r="P21" s="272">
        <f t="shared" si="2"/>
        <v>18.759999999999998</v>
      </c>
      <c r="Q21" s="272">
        <f t="shared" si="2"/>
        <v>10.72</v>
      </c>
      <c r="R21" s="272">
        <f t="shared" si="2"/>
        <v>21.44</v>
      </c>
      <c r="S21" s="272">
        <f t="shared" si="2"/>
        <v>21.44</v>
      </c>
      <c r="T21" s="272">
        <f t="shared" si="2"/>
        <v>21.44</v>
      </c>
      <c r="U21" s="272">
        <f t="shared" si="2"/>
        <v>21.44</v>
      </c>
      <c r="V21" s="272">
        <f t="shared" si="2"/>
        <v>21.44</v>
      </c>
      <c r="W21" s="272">
        <f t="shared" si="2"/>
        <v>18.759999999999998</v>
      </c>
      <c r="X21" s="272">
        <f t="shared" si="2"/>
        <v>10.72</v>
      </c>
      <c r="Y21" s="272">
        <f t="shared" si="2"/>
        <v>16.079999999999998</v>
      </c>
      <c r="Z21" s="272">
        <f t="shared" si="2"/>
        <v>16.079999999999998</v>
      </c>
      <c r="AA21" s="272">
        <f t="shared" si="2"/>
        <v>16.079999999999998</v>
      </c>
      <c r="AB21" s="273">
        <f t="shared" si="2"/>
        <v>16.079999999999998</v>
      </c>
      <c r="AC21" s="272">
        <f>AC19*$B$8</f>
        <v>10.72</v>
      </c>
      <c r="AD21" s="193">
        <v>13</v>
      </c>
      <c r="AE21" s="193">
        <v>13</v>
      </c>
      <c r="AF21" s="180">
        <f t="shared" si="0"/>
        <v>8</v>
      </c>
    </row>
    <row r="22" spans="1:48" s="197" customFormat="1" x14ac:dyDescent="0.2">
      <c r="A22" s="263" t="s">
        <v>106</v>
      </c>
      <c r="B22" s="194">
        <f t="shared" ref="B22:AC22" si="3">B21*$B$5</f>
        <v>20.100000000000001</v>
      </c>
      <c r="C22" s="194">
        <f t="shared" si="3"/>
        <v>20.100000000000001</v>
      </c>
      <c r="D22" s="194">
        <f t="shared" si="3"/>
        <v>20.100000000000001</v>
      </c>
      <c r="E22" s="194">
        <f t="shared" si="3"/>
        <v>20.100000000000001</v>
      </c>
      <c r="F22" s="194">
        <f t="shared" si="3"/>
        <v>20.100000000000001</v>
      </c>
      <c r="G22" s="194">
        <f t="shared" si="3"/>
        <v>20.100000000000001</v>
      </c>
      <c r="H22" s="194">
        <f t="shared" si="3"/>
        <v>22.110000000000003</v>
      </c>
      <c r="I22" s="194">
        <f t="shared" si="3"/>
        <v>24.119999999999997</v>
      </c>
      <c r="J22" s="194">
        <f t="shared" si="3"/>
        <v>26.130000000000003</v>
      </c>
      <c r="K22" s="194">
        <f t="shared" si="3"/>
        <v>28.139999999999997</v>
      </c>
      <c r="L22" s="194">
        <f t="shared" si="3"/>
        <v>28.139999999999997</v>
      </c>
      <c r="M22" s="194">
        <f t="shared" si="3"/>
        <v>28.139999999999997</v>
      </c>
      <c r="N22" s="194">
        <f t="shared" si="3"/>
        <v>28.139999999999997</v>
      </c>
      <c r="O22" s="194">
        <f t="shared" si="3"/>
        <v>28.139999999999997</v>
      </c>
      <c r="P22" s="194">
        <f t="shared" si="3"/>
        <v>28.139999999999997</v>
      </c>
      <c r="Q22" s="194">
        <f t="shared" si="3"/>
        <v>16.080000000000002</v>
      </c>
      <c r="R22" s="194">
        <f t="shared" si="3"/>
        <v>32.160000000000004</v>
      </c>
      <c r="S22" s="194">
        <f t="shared" si="3"/>
        <v>32.160000000000004</v>
      </c>
      <c r="T22" s="194">
        <f t="shared" si="3"/>
        <v>32.160000000000004</v>
      </c>
      <c r="U22" s="194">
        <f t="shared" si="3"/>
        <v>32.160000000000004</v>
      </c>
      <c r="V22" s="194">
        <f t="shared" si="3"/>
        <v>32.160000000000004</v>
      </c>
      <c r="W22" s="194">
        <f t="shared" si="3"/>
        <v>28.139999999999997</v>
      </c>
      <c r="X22" s="194">
        <f t="shared" si="3"/>
        <v>16.080000000000002</v>
      </c>
      <c r="Y22" s="194">
        <f t="shared" si="3"/>
        <v>24.119999999999997</v>
      </c>
      <c r="Z22" s="194">
        <f t="shared" si="3"/>
        <v>24.119999999999997</v>
      </c>
      <c r="AA22" s="194">
        <f t="shared" si="3"/>
        <v>24.119999999999997</v>
      </c>
      <c r="AB22" s="195">
        <f t="shared" si="3"/>
        <v>24.119999999999997</v>
      </c>
      <c r="AC22" s="194">
        <f t="shared" si="3"/>
        <v>16.080000000000002</v>
      </c>
      <c r="AD22" s="196">
        <f>$B$5*AD21</f>
        <v>19.5</v>
      </c>
      <c r="AE22" s="196">
        <f>$B$5*AE21</f>
        <v>19.5</v>
      </c>
      <c r="AF22" s="180">
        <f t="shared" si="0"/>
        <v>9</v>
      </c>
      <c r="AG22" s="169"/>
      <c r="AH22" s="169"/>
      <c r="AI22" s="169"/>
      <c r="AJ22" s="169"/>
      <c r="AK22" s="169"/>
      <c r="AL22" s="169"/>
      <c r="AM22" s="169"/>
      <c r="AN22" s="169"/>
      <c r="AO22" s="169"/>
      <c r="AP22" s="169"/>
      <c r="AQ22" s="169"/>
      <c r="AR22" s="169"/>
      <c r="AS22" s="169"/>
      <c r="AT22" s="169"/>
      <c r="AU22" s="169"/>
    </row>
    <row r="23" spans="1:48" s="199" customFormat="1" x14ac:dyDescent="0.2">
      <c r="A23" s="263" t="s">
        <v>107</v>
      </c>
      <c r="B23" s="198">
        <f>$B$9</f>
        <v>20.100000000000001</v>
      </c>
      <c r="C23" s="198">
        <f t="shared" ref="C23:AC23" si="4">$B$9</f>
        <v>20.100000000000001</v>
      </c>
      <c r="D23" s="198">
        <f t="shared" si="4"/>
        <v>20.100000000000001</v>
      </c>
      <c r="E23" s="198">
        <f t="shared" si="4"/>
        <v>20.100000000000001</v>
      </c>
      <c r="F23" s="198">
        <f t="shared" si="4"/>
        <v>20.100000000000001</v>
      </c>
      <c r="G23" s="198">
        <f t="shared" si="4"/>
        <v>20.100000000000001</v>
      </c>
      <c r="H23" s="198">
        <f t="shared" si="4"/>
        <v>20.100000000000001</v>
      </c>
      <c r="I23" s="198">
        <f t="shared" si="4"/>
        <v>20.100000000000001</v>
      </c>
      <c r="J23" s="467">
        <v>30</v>
      </c>
      <c r="K23" s="467">
        <f t="shared" si="4"/>
        <v>20.100000000000001</v>
      </c>
      <c r="L23" s="467">
        <f t="shared" si="4"/>
        <v>20.100000000000001</v>
      </c>
      <c r="M23" s="467">
        <v>30</v>
      </c>
      <c r="N23" s="467">
        <f t="shared" si="4"/>
        <v>20.100000000000001</v>
      </c>
      <c r="O23" s="467">
        <f t="shared" si="4"/>
        <v>20.100000000000001</v>
      </c>
      <c r="P23" s="467">
        <v>30</v>
      </c>
      <c r="Q23" s="467">
        <f t="shared" si="4"/>
        <v>20.100000000000001</v>
      </c>
      <c r="R23" s="467">
        <f t="shared" si="4"/>
        <v>20.100000000000001</v>
      </c>
      <c r="S23" s="467">
        <f t="shared" si="4"/>
        <v>20.100000000000001</v>
      </c>
      <c r="T23" s="467">
        <f t="shared" si="4"/>
        <v>20.100000000000001</v>
      </c>
      <c r="U23" s="467">
        <f t="shared" si="4"/>
        <v>20.100000000000001</v>
      </c>
      <c r="V23" s="467">
        <f t="shared" si="4"/>
        <v>20.100000000000001</v>
      </c>
      <c r="W23" s="467">
        <f t="shared" si="4"/>
        <v>20.100000000000001</v>
      </c>
      <c r="X23" s="467">
        <f t="shared" si="4"/>
        <v>20.100000000000001</v>
      </c>
      <c r="Y23" s="467">
        <f t="shared" si="4"/>
        <v>20.100000000000001</v>
      </c>
      <c r="Z23" s="467">
        <f t="shared" si="4"/>
        <v>20.100000000000001</v>
      </c>
      <c r="AA23" s="468">
        <v>30</v>
      </c>
      <c r="AB23" s="468">
        <f t="shared" si="4"/>
        <v>20.100000000000001</v>
      </c>
      <c r="AC23" s="467">
        <f t="shared" si="4"/>
        <v>20.100000000000001</v>
      </c>
      <c r="AD23" s="194">
        <f>$B$9</f>
        <v>20.100000000000001</v>
      </c>
      <c r="AE23" s="194">
        <f>$B$9</f>
        <v>20.100000000000001</v>
      </c>
      <c r="AF23" s="180">
        <f t="shared" si="0"/>
        <v>10</v>
      </c>
    </row>
    <row r="24" spans="1:48" s="199" customFormat="1" x14ac:dyDescent="0.2">
      <c r="A24" s="263" t="s">
        <v>108</v>
      </c>
      <c r="B24" s="198">
        <f t="shared" ref="B24:AB24" si="5">IF(ISBLANK(B87),0,$B$10)</f>
        <v>0</v>
      </c>
      <c r="C24" s="198">
        <f t="shared" si="5"/>
        <v>0</v>
      </c>
      <c r="D24" s="198">
        <f t="shared" si="5"/>
        <v>0</v>
      </c>
      <c r="E24" s="198">
        <f t="shared" si="5"/>
        <v>0</v>
      </c>
      <c r="F24" s="198">
        <f t="shared" si="5"/>
        <v>0</v>
      </c>
      <c r="G24" s="198">
        <f t="shared" si="5"/>
        <v>0</v>
      </c>
      <c r="H24" s="198">
        <f t="shared" si="5"/>
        <v>0</v>
      </c>
      <c r="I24" s="198">
        <f t="shared" si="5"/>
        <v>0</v>
      </c>
      <c r="J24" s="198">
        <f t="shared" si="5"/>
        <v>0</v>
      </c>
      <c r="K24" s="198">
        <f t="shared" si="5"/>
        <v>0</v>
      </c>
      <c r="L24" s="198">
        <f t="shared" si="5"/>
        <v>0</v>
      </c>
      <c r="M24" s="198">
        <f t="shared" si="5"/>
        <v>0</v>
      </c>
      <c r="N24" s="198">
        <f t="shared" si="5"/>
        <v>0</v>
      </c>
      <c r="O24" s="198">
        <f t="shared" si="5"/>
        <v>0</v>
      </c>
      <c r="P24" s="198">
        <f t="shared" si="5"/>
        <v>0</v>
      </c>
      <c r="Q24" s="198">
        <f t="shared" si="5"/>
        <v>0</v>
      </c>
      <c r="R24" s="198">
        <f t="shared" si="5"/>
        <v>99.999899999999997</v>
      </c>
      <c r="S24" s="198">
        <f t="shared" si="5"/>
        <v>99.999899999999997</v>
      </c>
      <c r="T24" s="198">
        <f t="shared" si="5"/>
        <v>99.999899999999997</v>
      </c>
      <c r="U24" s="198">
        <f t="shared" si="5"/>
        <v>99.999899999999997</v>
      </c>
      <c r="V24" s="198">
        <f t="shared" si="5"/>
        <v>99.999899999999997</v>
      </c>
      <c r="W24" s="198">
        <f t="shared" si="5"/>
        <v>99.999899999999997</v>
      </c>
      <c r="X24" s="198">
        <f t="shared" si="5"/>
        <v>0</v>
      </c>
      <c r="Y24" s="198">
        <f t="shared" si="5"/>
        <v>0</v>
      </c>
      <c r="Z24" s="198">
        <f t="shared" si="5"/>
        <v>0</v>
      </c>
      <c r="AA24" s="198">
        <f t="shared" si="5"/>
        <v>0</v>
      </c>
      <c r="AB24" s="198">
        <f t="shared" si="5"/>
        <v>0</v>
      </c>
      <c r="AC24" s="198">
        <f>IF(ISBLANK(#REF!),0,$B$10)</f>
        <v>99.999899999999997</v>
      </c>
      <c r="AD24" s="200"/>
      <c r="AE24" s="200"/>
      <c r="AF24" s="180">
        <f t="shared" si="0"/>
        <v>11</v>
      </c>
    </row>
    <row r="25" spans="1:48" s="199" customFormat="1" x14ac:dyDescent="0.2">
      <c r="A25" s="263" t="s">
        <v>109</v>
      </c>
      <c r="B25" s="194">
        <f>B21*$B$5+SUM(B23:B24)</f>
        <v>40.200000000000003</v>
      </c>
      <c r="C25" s="194">
        <f t="shared" ref="C25:AB25" si="6">C21*$B$5+SUM(C23:C24)</f>
        <v>40.200000000000003</v>
      </c>
      <c r="D25" s="194">
        <f t="shared" si="6"/>
        <v>40.200000000000003</v>
      </c>
      <c r="E25" s="194">
        <f t="shared" si="6"/>
        <v>40.200000000000003</v>
      </c>
      <c r="F25" s="194">
        <f t="shared" si="6"/>
        <v>40.200000000000003</v>
      </c>
      <c r="G25" s="194">
        <f t="shared" si="6"/>
        <v>40.200000000000003</v>
      </c>
      <c r="H25" s="194">
        <f t="shared" si="6"/>
        <v>42.210000000000008</v>
      </c>
      <c r="I25" s="194">
        <f t="shared" si="6"/>
        <v>44.22</v>
      </c>
      <c r="J25" s="194">
        <f t="shared" si="6"/>
        <v>56.13</v>
      </c>
      <c r="K25" s="194">
        <f t="shared" si="6"/>
        <v>48.239999999999995</v>
      </c>
      <c r="L25" s="194">
        <f t="shared" si="6"/>
        <v>48.239999999999995</v>
      </c>
      <c r="M25" s="194">
        <f t="shared" si="6"/>
        <v>58.14</v>
      </c>
      <c r="N25" s="194">
        <f t="shared" si="6"/>
        <v>48.239999999999995</v>
      </c>
      <c r="O25" s="194">
        <f t="shared" si="6"/>
        <v>48.239999999999995</v>
      </c>
      <c r="P25" s="194">
        <f t="shared" si="6"/>
        <v>58.14</v>
      </c>
      <c r="Q25" s="194">
        <f t="shared" si="6"/>
        <v>36.180000000000007</v>
      </c>
      <c r="R25" s="194">
        <f t="shared" si="6"/>
        <v>152.25989999999999</v>
      </c>
      <c r="S25" s="194">
        <f t="shared" si="6"/>
        <v>152.25989999999999</v>
      </c>
      <c r="T25" s="194">
        <f t="shared" si="6"/>
        <v>152.25989999999999</v>
      </c>
      <c r="U25" s="194">
        <f t="shared" si="6"/>
        <v>152.25989999999999</v>
      </c>
      <c r="V25" s="194">
        <f t="shared" si="6"/>
        <v>152.25989999999999</v>
      </c>
      <c r="W25" s="194">
        <f t="shared" si="6"/>
        <v>148.23989999999998</v>
      </c>
      <c r="X25" s="194">
        <f t="shared" si="6"/>
        <v>36.180000000000007</v>
      </c>
      <c r="Y25" s="194">
        <f t="shared" si="6"/>
        <v>44.22</v>
      </c>
      <c r="Z25" s="194">
        <f t="shared" si="6"/>
        <v>44.22</v>
      </c>
      <c r="AA25" s="194">
        <f t="shared" si="6"/>
        <v>54.12</v>
      </c>
      <c r="AB25" s="195">
        <f t="shared" si="6"/>
        <v>44.22</v>
      </c>
      <c r="AC25" s="194">
        <f>AC21*$B$5+SUM(AC23:AC24)</f>
        <v>136.1799</v>
      </c>
      <c r="AD25" s="201">
        <v>40.200000000000003</v>
      </c>
      <c r="AE25" s="201">
        <v>40.200000000000003</v>
      </c>
      <c r="AF25" s="180">
        <f t="shared" si="0"/>
        <v>12</v>
      </c>
    </row>
    <row r="26" spans="1:48" s="199" customFormat="1" x14ac:dyDescent="0.2">
      <c r="A26" s="264" t="s">
        <v>110</v>
      </c>
      <c r="B26" s="202">
        <f t="shared" ref="B26:AB26" si="7">-IF(ISBLANK(B86),0,MIN(B$22*$H$10,B$22-$B$7*$H$9))</f>
        <v>-0.38190000000000002</v>
      </c>
      <c r="C26" s="202">
        <f t="shared" si="7"/>
        <v>-0.38190000000000002</v>
      </c>
      <c r="D26" s="202">
        <f t="shared" si="7"/>
        <v>-0.38190000000000002</v>
      </c>
      <c r="E26" s="202">
        <f t="shared" si="7"/>
        <v>0</v>
      </c>
      <c r="F26" s="202">
        <f t="shared" si="7"/>
        <v>-0.38190000000000002</v>
      </c>
      <c r="G26" s="202">
        <f t="shared" si="7"/>
        <v>-0.38190000000000002</v>
      </c>
      <c r="H26" s="202">
        <f t="shared" si="7"/>
        <v>-0.42009000000000002</v>
      </c>
      <c r="I26" s="202">
        <f t="shared" si="7"/>
        <v>-0.45827999999999997</v>
      </c>
      <c r="J26" s="202">
        <f t="shared" si="7"/>
        <v>0</v>
      </c>
      <c r="K26" s="202">
        <f t="shared" si="7"/>
        <v>0</v>
      </c>
      <c r="L26" s="202">
        <f t="shared" si="7"/>
        <v>0</v>
      </c>
      <c r="M26" s="202">
        <f t="shared" si="7"/>
        <v>0</v>
      </c>
      <c r="N26" s="202">
        <f t="shared" si="7"/>
        <v>-0.53465999999999991</v>
      </c>
      <c r="O26" s="202">
        <f t="shared" si="7"/>
        <v>-0.53465999999999991</v>
      </c>
      <c r="P26" s="202">
        <f t="shared" si="7"/>
        <v>0</v>
      </c>
      <c r="Q26" s="202">
        <f t="shared" si="7"/>
        <v>0</v>
      </c>
      <c r="R26" s="202">
        <f t="shared" si="7"/>
        <v>0</v>
      </c>
      <c r="S26" s="202">
        <f t="shared" si="7"/>
        <v>0</v>
      </c>
      <c r="T26" s="202">
        <f t="shared" si="7"/>
        <v>0</v>
      </c>
      <c r="U26" s="202">
        <f t="shared" si="7"/>
        <v>0</v>
      </c>
      <c r="V26" s="202">
        <f t="shared" si="7"/>
        <v>0</v>
      </c>
      <c r="W26" s="202">
        <f t="shared" si="7"/>
        <v>0</v>
      </c>
      <c r="X26" s="202">
        <f t="shared" si="7"/>
        <v>0</v>
      </c>
      <c r="Y26" s="202">
        <f t="shared" si="7"/>
        <v>-0.45827999999999997</v>
      </c>
      <c r="Z26" s="202">
        <f t="shared" si="7"/>
        <v>-0.45827999999999997</v>
      </c>
      <c r="AA26" s="202">
        <f t="shared" si="7"/>
        <v>-0.45827999999999997</v>
      </c>
      <c r="AB26" s="202">
        <f t="shared" si="7"/>
        <v>-0.45827999999999997</v>
      </c>
      <c r="AC26" s="202">
        <f>-IF(ISBLANK(#REF!),0,MIN(AC$22*$H$10,AC$22-$B$7*$H$9))</f>
        <v>0</v>
      </c>
      <c r="AD26" s="194">
        <v>0</v>
      </c>
      <c r="AE26" s="194">
        <v>0</v>
      </c>
      <c r="AF26" s="180">
        <f t="shared" si="0"/>
        <v>13</v>
      </c>
    </row>
    <row r="27" spans="1:48" s="199" customFormat="1" x14ac:dyDescent="0.2">
      <c r="A27" s="263" t="s">
        <v>111</v>
      </c>
      <c r="B27" s="202">
        <f t="shared" ref="B27:AC27" si="8">SUM(B25:B26)</f>
        <v>39.818100000000001</v>
      </c>
      <c r="C27" s="202">
        <f t="shared" si="8"/>
        <v>39.818100000000001</v>
      </c>
      <c r="D27" s="202">
        <f t="shared" si="8"/>
        <v>39.818100000000001</v>
      </c>
      <c r="E27" s="202">
        <f t="shared" si="8"/>
        <v>40.200000000000003</v>
      </c>
      <c r="F27" s="202">
        <f t="shared" si="8"/>
        <v>39.818100000000001</v>
      </c>
      <c r="G27" s="202">
        <f t="shared" si="8"/>
        <v>39.818100000000001</v>
      </c>
      <c r="H27" s="202">
        <f t="shared" si="8"/>
        <v>41.789910000000006</v>
      </c>
      <c r="I27" s="202">
        <f t="shared" si="8"/>
        <v>43.761719999999997</v>
      </c>
      <c r="J27" s="202">
        <f t="shared" si="8"/>
        <v>56.13</v>
      </c>
      <c r="K27" s="202">
        <f t="shared" si="8"/>
        <v>48.239999999999995</v>
      </c>
      <c r="L27" s="202">
        <f t="shared" si="8"/>
        <v>48.239999999999995</v>
      </c>
      <c r="M27" s="202">
        <f t="shared" si="8"/>
        <v>58.14</v>
      </c>
      <c r="N27" s="202">
        <f t="shared" si="8"/>
        <v>47.705339999999993</v>
      </c>
      <c r="O27" s="202">
        <f t="shared" si="8"/>
        <v>47.705339999999993</v>
      </c>
      <c r="P27" s="202">
        <f t="shared" si="8"/>
        <v>58.14</v>
      </c>
      <c r="Q27" s="202">
        <f t="shared" si="8"/>
        <v>36.180000000000007</v>
      </c>
      <c r="R27" s="202">
        <f t="shared" si="8"/>
        <v>152.25989999999999</v>
      </c>
      <c r="S27" s="202">
        <f t="shared" si="8"/>
        <v>152.25989999999999</v>
      </c>
      <c r="T27" s="202">
        <f t="shared" si="8"/>
        <v>152.25989999999999</v>
      </c>
      <c r="U27" s="202">
        <f t="shared" si="8"/>
        <v>152.25989999999999</v>
      </c>
      <c r="V27" s="202">
        <f t="shared" si="8"/>
        <v>152.25989999999999</v>
      </c>
      <c r="W27" s="202">
        <f t="shared" si="8"/>
        <v>148.23989999999998</v>
      </c>
      <c r="X27" s="202">
        <f t="shared" si="8"/>
        <v>36.180000000000007</v>
      </c>
      <c r="Y27" s="202">
        <f t="shared" si="8"/>
        <v>43.761719999999997</v>
      </c>
      <c r="Z27" s="202">
        <f t="shared" si="8"/>
        <v>43.761719999999997</v>
      </c>
      <c r="AA27" s="202">
        <f t="shared" si="8"/>
        <v>53.661719999999995</v>
      </c>
      <c r="AB27" s="203">
        <f t="shared" si="8"/>
        <v>43.761719999999997</v>
      </c>
      <c r="AC27" s="202">
        <f t="shared" si="8"/>
        <v>136.1799</v>
      </c>
      <c r="AD27" s="202">
        <f>SUM(AD25:AD26)</f>
        <v>40.200000000000003</v>
      </c>
      <c r="AE27" s="202">
        <f>SUM(AE25:AE26)</f>
        <v>40.200000000000003</v>
      </c>
      <c r="AF27" s="180">
        <f t="shared" si="0"/>
        <v>14</v>
      </c>
    </row>
    <row r="28" spans="1:48" s="199" customFormat="1" x14ac:dyDescent="0.2">
      <c r="A28" s="264" t="s">
        <v>112</v>
      </c>
      <c r="B28" s="43">
        <f>AVERAGE(AA25:AB25,B25)</f>
        <v>46.180000000000007</v>
      </c>
      <c r="C28" s="43">
        <f>AVERAGE(AB25,B25:C25)</f>
        <v>41.54</v>
      </c>
      <c r="D28" s="43">
        <f t="shared" ref="D28:AB28" si="9">AVERAGE(B25:D25)</f>
        <v>40.200000000000003</v>
      </c>
      <c r="E28" s="43">
        <f t="shared" si="9"/>
        <v>40.200000000000003</v>
      </c>
      <c r="F28" s="43">
        <f t="shared" si="9"/>
        <v>40.200000000000003</v>
      </c>
      <c r="G28" s="43">
        <f t="shared" si="9"/>
        <v>40.200000000000003</v>
      </c>
      <c r="H28" s="43">
        <f t="shared" si="9"/>
        <v>40.870000000000005</v>
      </c>
      <c r="I28" s="43">
        <f t="shared" si="9"/>
        <v>42.21</v>
      </c>
      <c r="J28" s="43">
        <f t="shared" si="9"/>
        <v>47.52</v>
      </c>
      <c r="K28" s="43">
        <f t="shared" si="9"/>
        <v>49.529999999999994</v>
      </c>
      <c r="L28" s="43">
        <f t="shared" si="9"/>
        <v>50.870000000000005</v>
      </c>
      <c r="M28" s="43">
        <f t="shared" si="9"/>
        <v>51.54</v>
      </c>
      <c r="N28" s="43">
        <f t="shared" si="9"/>
        <v>51.54</v>
      </c>
      <c r="O28" s="43">
        <f t="shared" si="9"/>
        <v>51.54</v>
      </c>
      <c r="P28" s="43">
        <f t="shared" si="9"/>
        <v>51.54</v>
      </c>
      <c r="Q28" s="43">
        <f t="shared" si="9"/>
        <v>47.52</v>
      </c>
      <c r="R28" s="43">
        <f t="shared" si="9"/>
        <v>82.193300000000008</v>
      </c>
      <c r="S28" s="43">
        <f t="shared" si="9"/>
        <v>113.56659999999999</v>
      </c>
      <c r="T28" s="43">
        <f t="shared" si="9"/>
        <v>152.25989999999999</v>
      </c>
      <c r="U28" s="43">
        <f t="shared" si="9"/>
        <v>152.25989999999999</v>
      </c>
      <c r="V28" s="43">
        <f t="shared" si="9"/>
        <v>152.25989999999999</v>
      </c>
      <c r="W28" s="43">
        <f t="shared" si="9"/>
        <v>150.91989999999998</v>
      </c>
      <c r="X28" s="43">
        <f t="shared" si="9"/>
        <v>112.22659999999998</v>
      </c>
      <c r="Y28" s="43">
        <f t="shared" si="9"/>
        <v>76.21329999999999</v>
      </c>
      <c r="Z28" s="43">
        <f t="shared" si="9"/>
        <v>41.54</v>
      </c>
      <c r="AA28" s="43">
        <f t="shared" si="9"/>
        <v>47.52</v>
      </c>
      <c r="AB28" s="44">
        <f t="shared" si="9"/>
        <v>47.52</v>
      </c>
      <c r="AC28" s="202">
        <f>SUM(AC25:AC26)</f>
        <v>136.1799</v>
      </c>
      <c r="AD28" s="275"/>
      <c r="AE28" s="275"/>
      <c r="AF28" s="180">
        <f t="shared" si="0"/>
        <v>15</v>
      </c>
    </row>
    <row r="29" spans="1:48" s="199" customFormat="1" x14ac:dyDescent="0.2">
      <c r="A29" s="265" t="s">
        <v>113</v>
      </c>
      <c r="B29" s="267"/>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76"/>
      <c r="AD29" s="278"/>
      <c r="AE29" s="280"/>
      <c r="AF29" s="180">
        <f t="shared" si="0"/>
        <v>16</v>
      </c>
    </row>
    <row r="30" spans="1:48" s="199" customFormat="1" x14ac:dyDescent="0.2">
      <c r="A30" s="264" t="s">
        <v>114</v>
      </c>
      <c r="B30" s="268">
        <f t="shared" ref="B30:AC30" si="10">IF(ISBLANK(B86),0,$B$11)</f>
        <v>0</v>
      </c>
      <c r="C30" s="268">
        <f t="shared" si="10"/>
        <v>0</v>
      </c>
      <c r="D30" s="268">
        <f t="shared" si="10"/>
        <v>0</v>
      </c>
      <c r="E30" s="268">
        <f t="shared" si="10"/>
        <v>0</v>
      </c>
      <c r="F30" s="268">
        <f t="shared" si="10"/>
        <v>0</v>
      </c>
      <c r="G30" s="268">
        <f t="shared" si="10"/>
        <v>0</v>
      </c>
      <c r="H30" s="268">
        <f t="shared" si="10"/>
        <v>0</v>
      </c>
      <c r="I30" s="268">
        <f t="shared" si="10"/>
        <v>0</v>
      </c>
      <c r="J30" s="268">
        <f t="shared" si="10"/>
        <v>0</v>
      </c>
      <c r="K30" s="268">
        <f t="shared" si="10"/>
        <v>0</v>
      </c>
      <c r="L30" s="268">
        <f t="shared" si="10"/>
        <v>0</v>
      </c>
      <c r="M30" s="268">
        <f t="shared" si="10"/>
        <v>0</v>
      </c>
      <c r="N30" s="268">
        <f t="shared" si="10"/>
        <v>0</v>
      </c>
      <c r="O30" s="268">
        <f t="shared" si="10"/>
        <v>0</v>
      </c>
      <c r="P30" s="268">
        <f t="shared" si="10"/>
        <v>0</v>
      </c>
      <c r="Q30" s="268">
        <f t="shared" si="10"/>
        <v>0</v>
      </c>
      <c r="R30" s="268">
        <f t="shared" si="10"/>
        <v>0</v>
      </c>
      <c r="S30" s="268">
        <f t="shared" si="10"/>
        <v>0</v>
      </c>
      <c r="T30" s="268">
        <f t="shared" si="10"/>
        <v>0</v>
      </c>
      <c r="U30" s="268">
        <f t="shared" si="10"/>
        <v>0</v>
      </c>
      <c r="V30" s="268">
        <f t="shared" si="10"/>
        <v>0</v>
      </c>
      <c r="W30" s="268">
        <f t="shared" si="10"/>
        <v>0</v>
      </c>
      <c r="X30" s="268">
        <f t="shared" si="10"/>
        <v>0</v>
      </c>
      <c r="Y30" s="268">
        <f t="shared" si="10"/>
        <v>0</v>
      </c>
      <c r="Z30" s="268">
        <f t="shared" si="10"/>
        <v>0</v>
      </c>
      <c r="AA30" s="268">
        <f t="shared" si="10"/>
        <v>0</v>
      </c>
      <c r="AB30" s="268">
        <f t="shared" si="10"/>
        <v>0</v>
      </c>
      <c r="AC30" s="267">
        <f t="shared" si="10"/>
        <v>0</v>
      </c>
      <c r="AD30" s="279"/>
      <c r="AE30" s="281"/>
      <c r="AF30" s="180">
        <f t="shared" si="0"/>
        <v>17</v>
      </c>
    </row>
    <row r="31" spans="1:48" s="11" customFormat="1" ht="12.75" x14ac:dyDescent="0.2">
      <c r="A31" s="45" t="s">
        <v>115</v>
      </c>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77"/>
      <c r="AD31" s="279"/>
      <c r="AE31" s="281"/>
      <c r="AF31" s="180">
        <f t="shared" si="0"/>
        <v>18</v>
      </c>
      <c r="AG31" s="10"/>
      <c r="AH31" s="10"/>
      <c r="AI31" s="10"/>
      <c r="AJ31" s="10"/>
      <c r="AK31" s="10"/>
      <c r="AL31" s="10"/>
      <c r="AM31" s="10"/>
      <c r="AN31" s="10"/>
      <c r="AO31" s="10"/>
      <c r="AP31" s="10"/>
      <c r="AQ31" s="10"/>
      <c r="AR31" s="10"/>
      <c r="AS31" s="10"/>
      <c r="AT31" s="10"/>
      <c r="AU31" s="10"/>
      <c r="AV31" s="10"/>
    </row>
    <row r="32" spans="1:48" s="11" customFormat="1" x14ac:dyDescent="0.2">
      <c r="A32" s="364" t="s">
        <v>116</v>
      </c>
      <c r="B32" s="340">
        <v>0.7</v>
      </c>
      <c r="C32" s="340">
        <v>0.7</v>
      </c>
      <c r="D32" s="340">
        <v>0.7</v>
      </c>
      <c r="E32" s="340">
        <v>0.7</v>
      </c>
      <c r="F32" s="340">
        <v>0.7</v>
      </c>
      <c r="G32" s="340">
        <v>0.7</v>
      </c>
      <c r="H32" s="340">
        <v>0.8</v>
      </c>
      <c r="I32" s="340">
        <v>0.8</v>
      </c>
      <c r="J32" s="340">
        <v>0.8</v>
      </c>
      <c r="K32" s="340">
        <v>0.9</v>
      </c>
      <c r="L32" s="340">
        <v>0.9</v>
      </c>
      <c r="M32" s="340">
        <v>0.9</v>
      </c>
      <c r="N32" s="340">
        <v>1</v>
      </c>
      <c r="O32" s="340">
        <v>1</v>
      </c>
      <c r="P32" s="340">
        <v>1</v>
      </c>
      <c r="Q32" s="340">
        <v>1</v>
      </c>
      <c r="R32" s="340">
        <v>1</v>
      </c>
      <c r="S32" s="340">
        <v>1</v>
      </c>
      <c r="T32" s="340">
        <v>1</v>
      </c>
      <c r="U32" s="340">
        <v>1</v>
      </c>
      <c r="V32" s="340">
        <v>1</v>
      </c>
      <c r="W32" s="340">
        <v>1</v>
      </c>
      <c r="X32" s="340">
        <v>1</v>
      </c>
      <c r="Y32" s="340">
        <v>1</v>
      </c>
      <c r="Z32" s="340">
        <v>1</v>
      </c>
      <c r="AA32" s="340">
        <v>1</v>
      </c>
      <c r="AB32" s="399">
        <v>1</v>
      </c>
      <c r="AC32" s="340">
        <v>0.7</v>
      </c>
      <c r="AD32" s="190">
        <v>0</v>
      </c>
      <c r="AE32" s="190">
        <v>0</v>
      </c>
      <c r="AF32" s="180">
        <f t="shared" si="0"/>
        <v>19</v>
      </c>
      <c r="AG32" s="10"/>
      <c r="AH32" s="10"/>
      <c r="AI32" s="10"/>
      <c r="AJ32" s="10"/>
      <c r="AK32" s="10"/>
      <c r="AL32" s="10"/>
      <c r="AM32" s="10"/>
      <c r="AN32" s="10"/>
      <c r="AO32" s="10"/>
      <c r="AP32" s="10"/>
      <c r="AQ32" s="10"/>
      <c r="AR32" s="10"/>
      <c r="AS32" s="10"/>
      <c r="AT32" s="10"/>
      <c r="AU32" s="10"/>
      <c r="AV32" s="10"/>
    </row>
    <row r="33" spans="1:48" s="11" customFormat="1" x14ac:dyDescent="0.2">
      <c r="A33" s="364" t="s">
        <v>117</v>
      </c>
      <c r="B33" s="400">
        <f t="shared" ref="B33:AC33" si="11">B32*0.8</f>
        <v>0.55999999999999994</v>
      </c>
      <c r="C33" s="400">
        <f t="shared" si="11"/>
        <v>0.55999999999999994</v>
      </c>
      <c r="D33" s="400">
        <f t="shared" si="11"/>
        <v>0.55999999999999994</v>
      </c>
      <c r="E33" s="400">
        <f t="shared" si="11"/>
        <v>0.55999999999999994</v>
      </c>
      <c r="F33" s="400">
        <f t="shared" si="11"/>
        <v>0.55999999999999994</v>
      </c>
      <c r="G33" s="400">
        <f t="shared" si="11"/>
        <v>0.55999999999999994</v>
      </c>
      <c r="H33" s="400">
        <f t="shared" si="11"/>
        <v>0.64000000000000012</v>
      </c>
      <c r="I33" s="400">
        <f t="shared" si="11"/>
        <v>0.64000000000000012</v>
      </c>
      <c r="J33" s="400">
        <f t="shared" si="11"/>
        <v>0.64000000000000012</v>
      </c>
      <c r="K33" s="400">
        <f t="shared" si="11"/>
        <v>0.72000000000000008</v>
      </c>
      <c r="L33" s="400">
        <f t="shared" si="11"/>
        <v>0.72000000000000008</v>
      </c>
      <c r="M33" s="400">
        <f t="shared" si="11"/>
        <v>0.72000000000000008</v>
      </c>
      <c r="N33" s="400">
        <f t="shared" si="11"/>
        <v>0.8</v>
      </c>
      <c r="O33" s="400">
        <f t="shared" si="11"/>
        <v>0.8</v>
      </c>
      <c r="P33" s="400">
        <f t="shared" si="11"/>
        <v>0.8</v>
      </c>
      <c r="Q33" s="400">
        <f t="shared" si="11"/>
        <v>0.8</v>
      </c>
      <c r="R33" s="400">
        <f t="shared" si="11"/>
        <v>0.8</v>
      </c>
      <c r="S33" s="400">
        <f t="shared" si="11"/>
        <v>0.8</v>
      </c>
      <c r="T33" s="400">
        <f t="shared" si="11"/>
        <v>0.8</v>
      </c>
      <c r="U33" s="400">
        <f t="shared" si="11"/>
        <v>0.8</v>
      </c>
      <c r="V33" s="400">
        <f t="shared" si="11"/>
        <v>0.8</v>
      </c>
      <c r="W33" s="400">
        <f t="shared" si="11"/>
        <v>0.8</v>
      </c>
      <c r="X33" s="400">
        <f t="shared" si="11"/>
        <v>0.8</v>
      </c>
      <c r="Y33" s="400">
        <f t="shared" si="11"/>
        <v>0.8</v>
      </c>
      <c r="Z33" s="400">
        <f t="shared" si="11"/>
        <v>0.8</v>
      </c>
      <c r="AA33" s="400">
        <f t="shared" si="11"/>
        <v>0.8</v>
      </c>
      <c r="AB33" s="400">
        <f t="shared" si="11"/>
        <v>0.8</v>
      </c>
      <c r="AC33" s="400">
        <f t="shared" si="11"/>
        <v>0.55999999999999994</v>
      </c>
      <c r="AD33" s="190">
        <v>0</v>
      </c>
      <c r="AE33" s="190">
        <v>0</v>
      </c>
      <c r="AF33" s="180">
        <f t="shared" si="0"/>
        <v>20</v>
      </c>
      <c r="AG33" s="10"/>
      <c r="AH33" s="10"/>
      <c r="AI33" s="10"/>
      <c r="AJ33" s="10"/>
      <c r="AK33" s="10"/>
      <c r="AL33" s="10"/>
      <c r="AM33" s="10"/>
      <c r="AN33" s="10"/>
      <c r="AO33" s="10"/>
      <c r="AP33" s="10"/>
      <c r="AQ33" s="10"/>
      <c r="AR33" s="10"/>
      <c r="AS33" s="10"/>
      <c r="AT33" s="10"/>
      <c r="AU33" s="10"/>
      <c r="AV33" s="10"/>
    </row>
    <row r="34" spans="1:48" x14ac:dyDescent="0.2">
      <c r="A34" s="364" t="s">
        <v>118</v>
      </c>
      <c r="B34" s="400">
        <f>((B36*$B$106)/$B$2)</f>
        <v>0.38089148850342874</v>
      </c>
      <c r="C34" s="400">
        <f t="shared" ref="C34:AE34" si="12">((C36*$B$106)/$B$2)</f>
        <v>0.38089148850342874</v>
      </c>
      <c r="D34" s="400">
        <f t="shared" si="12"/>
        <v>0.38089148850342874</v>
      </c>
      <c r="E34" s="400">
        <f t="shared" si="12"/>
        <v>0.38089148850342874</v>
      </c>
      <c r="F34" s="400">
        <f t="shared" si="12"/>
        <v>0.38089148850342874</v>
      </c>
      <c r="G34" s="400">
        <f t="shared" si="12"/>
        <v>0.38089148850342874</v>
      </c>
      <c r="H34" s="400">
        <f t="shared" si="12"/>
        <v>0.43530455828963283</v>
      </c>
      <c r="I34" s="400">
        <f t="shared" si="12"/>
        <v>0.43530455828963283</v>
      </c>
      <c r="J34" s="400">
        <f t="shared" si="12"/>
        <v>0.43530455828963283</v>
      </c>
      <c r="K34" s="400">
        <f t="shared" si="12"/>
        <v>0.48971762807583691</v>
      </c>
      <c r="L34" s="400">
        <f t="shared" si="12"/>
        <v>0.48971762807583691</v>
      </c>
      <c r="M34" s="400">
        <f t="shared" si="12"/>
        <v>0.48971762807583691</v>
      </c>
      <c r="N34" s="400">
        <f t="shared" si="12"/>
        <v>0.54413069786204105</v>
      </c>
      <c r="O34" s="400">
        <f t="shared" si="12"/>
        <v>0.54413069786204105</v>
      </c>
      <c r="P34" s="400">
        <f t="shared" si="12"/>
        <v>0.54413069786204105</v>
      </c>
      <c r="Q34" s="400">
        <f t="shared" si="12"/>
        <v>0.54413069786204105</v>
      </c>
      <c r="R34" s="400">
        <f t="shared" si="12"/>
        <v>0.54413069786204105</v>
      </c>
      <c r="S34" s="400">
        <f t="shared" si="12"/>
        <v>0.54413069786204105</v>
      </c>
      <c r="T34" s="400">
        <f t="shared" si="12"/>
        <v>0.54413069786204105</v>
      </c>
      <c r="U34" s="400">
        <f t="shared" si="12"/>
        <v>0.54413069786204105</v>
      </c>
      <c r="V34" s="400">
        <f t="shared" si="12"/>
        <v>0.54413069786204105</v>
      </c>
      <c r="W34" s="400">
        <f t="shared" si="12"/>
        <v>0.54413069786204105</v>
      </c>
      <c r="X34" s="400">
        <f t="shared" si="12"/>
        <v>0.54413069786204105</v>
      </c>
      <c r="Y34" s="400">
        <f t="shared" si="12"/>
        <v>0.54413069786204105</v>
      </c>
      <c r="Z34" s="400">
        <f t="shared" si="12"/>
        <v>0.54413069786204105</v>
      </c>
      <c r="AA34" s="400">
        <f t="shared" si="12"/>
        <v>0.54413069786204105</v>
      </c>
      <c r="AB34" s="400">
        <f t="shared" si="12"/>
        <v>0.54413069786204105</v>
      </c>
      <c r="AC34" s="400">
        <f t="shared" si="12"/>
        <v>0.38089148850342874</v>
      </c>
      <c r="AD34" s="400">
        <f t="shared" si="12"/>
        <v>0.25506126462283174</v>
      </c>
      <c r="AE34" s="400">
        <f t="shared" si="12"/>
        <v>0.25506126462283174</v>
      </c>
      <c r="AF34" s="180">
        <f t="shared" si="0"/>
        <v>21</v>
      </c>
      <c r="AG34" s="208" t="s">
        <v>119</v>
      </c>
      <c r="AH34" s="209" t="s">
        <v>120</v>
      </c>
      <c r="AI34" s="169"/>
      <c r="AJ34" s="169"/>
      <c r="AK34" s="169"/>
      <c r="AL34" s="169"/>
      <c r="AM34" s="169"/>
      <c r="AN34" s="169"/>
      <c r="AO34" s="169"/>
      <c r="AP34" s="169"/>
      <c r="AQ34" s="169"/>
      <c r="AR34" s="169"/>
      <c r="AS34" s="169"/>
      <c r="AT34" s="169"/>
      <c r="AU34" s="169"/>
      <c r="AV34" s="169"/>
    </row>
    <row r="35" spans="1:48" x14ac:dyDescent="0.2">
      <c r="A35" s="263" t="s">
        <v>121</v>
      </c>
      <c r="B35" s="207">
        <f t="shared" ref="B35:AC35" si="13">ROUND($B$2*B$32,2)</f>
        <v>1.4</v>
      </c>
      <c r="C35" s="207">
        <f t="shared" si="13"/>
        <v>1.4</v>
      </c>
      <c r="D35" s="207">
        <f t="shared" si="13"/>
        <v>1.4</v>
      </c>
      <c r="E35" s="207">
        <f t="shared" si="13"/>
        <v>1.4</v>
      </c>
      <c r="F35" s="207">
        <f t="shared" si="13"/>
        <v>1.4</v>
      </c>
      <c r="G35" s="207">
        <f t="shared" si="13"/>
        <v>1.4</v>
      </c>
      <c r="H35" s="207">
        <f t="shared" si="13"/>
        <v>1.6</v>
      </c>
      <c r="I35" s="207">
        <f t="shared" si="13"/>
        <v>1.6</v>
      </c>
      <c r="J35" s="207">
        <f t="shared" si="13"/>
        <v>1.6</v>
      </c>
      <c r="K35" s="207">
        <f t="shared" si="13"/>
        <v>1.8</v>
      </c>
      <c r="L35" s="207">
        <f t="shared" si="13"/>
        <v>1.8</v>
      </c>
      <c r="M35" s="207">
        <f t="shared" si="13"/>
        <v>1.8</v>
      </c>
      <c r="N35" s="207">
        <f t="shared" si="13"/>
        <v>2</v>
      </c>
      <c r="O35" s="207">
        <f t="shared" si="13"/>
        <v>2</v>
      </c>
      <c r="P35" s="207">
        <f t="shared" si="13"/>
        <v>2</v>
      </c>
      <c r="Q35" s="207">
        <f t="shared" si="13"/>
        <v>2</v>
      </c>
      <c r="R35" s="207">
        <f t="shared" si="13"/>
        <v>2</v>
      </c>
      <c r="S35" s="207">
        <f t="shared" si="13"/>
        <v>2</v>
      </c>
      <c r="T35" s="207">
        <f t="shared" si="13"/>
        <v>2</v>
      </c>
      <c r="U35" s="207">
        <f t="shared" si="13"/>
        <v>2</v>
      </c>
      <c r="V35" s="207">
        <f t="shared" si="13"/>
        <v>2</v>
      </c>
      <c r="W35" s="207">
        <f t="shared" si="13"/>
        <v>2</v>
      </c>
      <c r="X35" s="207">
        <f t="shared" si="13"/>
        <v>2</v>
      </c>
      <c r="Y35" s="207">
        <f t="shared" si="13"/>
        <v>2</v>
      </c>
      <c r="Z35" s="207">
        <f t="shared" si="13"/>
        <v>2</v>
      </c>
      <c r="AA35" s="207">
        <f t="shared" si="13"/>
        <v>2</v>
      </c>
      <c r="AB35" s="207">
        <f t="shared" si="13"/>
        <v>2</v>
      </c>
      <c r="AC35" s="186">
        <f t="shared" si="13"/>
        <v>1.4</v>
      </c>
      <c r="AD35" s="207">
        <v>1</v>
      </c>
      <c r="AE35" s="207">
        <v>1</v>
      </c>
      <c r="AF35" s="180">
        <f t="shared" si="0"/>
        <v>22</v>
      </c>
      <c r="AI35" s="210"/>
      <c r="AJ35" s="210"/>
      <c r="AK35" s="210"/>
      <c r="AL35" s="210"/>
      <c r="AM35" s="210"/>
      <c r="AN35" s="169"/>
      <c r="AO35" s="169"/>
      <c r="AP35" s="169"/>
      <c r="AQ35" s="169"/>
      <c r="AR35" s="169"/>
      <c r="AS35" s="169"/>
      <c r="AT35" s="169"/>
      <c r="AU35" s="169"/>
      <c r="AV35" s="169"/>
    </row>
    <row r="36" spans="1:48" s="197" customFormat="1" x14ac:dyDescent="0.2">
      <c r="A36" s="263" t="s">
        <v>122</v>
      </c>
      <c r="B36" s="212">
        <f t="shared" ref="B36:AC36" si="14">ROUND($B$2*B$33,2)</f>
        <v>1.1200000000000001</v>
      </c>
      <c r="C36" s="212">
        <f t="shared" si="14"/>
        <v>1.1200000000000001</v>
      </c>
      <c r="D36" s="212">
        <f t="shared" si="14"/>
        <v>1.1200000000000001</v>
      </c>
      <c r="E36" s="212">
        <f t="shared" si="14"/>
        <v>1.1200000000000001</v>
      </c>
      <c r="F36" s="212">
        <f t="shared" si="14"/>
        <v>1.1200000000000001</v>
      </c>
      <c r="G36" s="212">
        <f t="shared" si="14"/>
        <v>1.1200000000000001</v>
      </c>
      <c r="H36" s="212">
        <f t="shared" si="14"/>
        <v>1.28</v>
      </c>
      <c r="I36" s="212">
        <f t="shared" si="14"/>
        <v>1.28</v>
      </c>
      <c r="J36" s="212">
        <f t="shared" si="14"/>
        <v>1.28</v>
      </c>
      <c r="K36" s="212">
        <f t="shared" si="14"/>
        <v>1.44</v>
      </c>
      <c r="L36" s="212">
        <f t="shared" si="14"/>
        <v>1.44</v>
      </c>
      <c r="M36" s="212">
        <f t="shared" si="14"/>
        <v>1.44</v>
      </c>
      <c r="N36" s="212">
        <f t="shared" si="14"/>
        <v>1.6</v>
      </c>
      <c r="O36" s="212">
        <f t="shared" si="14"/>
        <v>1.6</v>
      </c>
      <c r="P36" s="212">
        <f t="shared" si="14"/>
        <v>1.6</v>
      </c>
      <c r="Q36" s="212">
        <f t="shared" si="14"/>
        <v>1.6</v>
      </c>
      <c r="R36" s="212">
        <f t="shared" si="14"/>
        <v>1.6</v>
      </c>
      <c r="S36" s="212">
        <f t="shared" si="14"/>
        <v>1.6</v>
      </c>
      <c r="T36" s="212">
        <f t="shared" si="14"/>
        <v>1.6</v>
      </c>
      <c r="U36" s="212">
        <f t="shared" si="14"/>
        <v>1.6</v>
      </c>
      <c r="V36" s="212">
        <f t="shared" si="14"/>
        <v>1.6</v>
      </c>
      <c r="W36" s="212">
        <f t="shared" si="14"/>
        <v>1.6</v>
      </c>
      <c r="X36" s="212">
        <f t="shared" si="14"/>
        <v>1.6</v>
      </c>
      <c r="Y36" s="212">
        <f t="shared" si="14"/>
        <v>1.6</v>
      </c>
      <c r="Z36" s="212">
        <f t="shared" si="14"/>
        <v>1.6</v>
      </c>
      <c r="AA36" s="212">
        <f t="shared" si="14"/>
        <v>1.6</v>
      </c>
      <c r="AB36" s="212">
        <f t="shared" si="14"/>
        <v>1.6</v>
      </c>
      <c r="AC36" s="212">
        <f t="shared" si="14"/>
        <v>1.1200000000000001</v>
      </c>
      <c r="AD36" s="212">
        <f>AD35*0.75</f>
        <v>0.75</v>
      </c>
      <c r="AE36" s="212">
        <f>AE35*0.75</f>
        <v>0.75</v>
      </c>
      <c r="AF36" s="180">
        <f t="shared" si="0"/>
        <v>23</v>
      </c>
      <c r="AG36" s="541" t="s">
        <v>123</v>
      </c>
      <c r="AH36" s="541"/>
      <c r="AI36" s="169"/>
      <c r="AJ36" s="169"/>
      <c r="AK36" s="169"/>
      <c r="AL36" s="169"/>
      <c r="AM36" s="169"/>
      <c r="AN36" s="169"/>
      <c r="AO36" s="169"/>
      <c r="AP36" s="169"/>
      <c r="AQ36" s="169"/>
      <c r="AR36" s="169"/>
      <c r="AS36" s="169"/>
      <c r="AT36" s="169"/>
      <c r="AU36" s="169"/>
    </row>
    <row r="37" spans="1:48" s="210" customFormat="1" x14ac:dyDescent="0.2">
      <c r="A37" s="391" t="s">
        <v>124</v>
      </c>
      <c r="B37" s="508">
        <f>B34*$B$2</f>
        <v>0.76178297700685749</v>
      </c>
      <c r="C37" s="508">
        <f t="shared" ref="C37:AE37" si="15">C34*$B$2</f>
        <v>0.76178297700685749</v>
      </c>
      <c r="D37" s="508">
        <f t="shared" si="15"/>
        <v>0.76178297700685749</v>
      </c>
      <c r="E37" s="508">
        <f t="shared" si="15"/>
        <v>0.76178297700685749</v>
      </c>
      <c r="F37" s="508">
        <f t="shared" si="15"/>
        <v>0.76178297700685749</v>
      </c>
      <c r="G37" s="508">
        <f t="shared" si="15"/>
        <v>0.76178297700685749</v>
      </c>
      <c r="H37" s="508">
        <f t="shared" si="15"/>
        <v>0.87060911657926565</v>
      </c>
      <c r="I37" s="508">
        <f t="shared" si="15"/>
        <v>0.87060911657926565</v>
      </c>
      <c r="J37" s="508">
        <f t="shared" si="15"/>
        <v>0.87060911657926565</v>
      </c>
      <c r="K37" s="508">
        <f t="shared" si="15"/>
        <v>0.97943525615167382</v>
      </c>
      <c r="L37" s="508">
        <f t="shared" si="15"/>
        <v>0.97943525615167382</v>
      </c>
      <c r="M37" s="508">
        <f t="shared" si="15"/>
        <v>0.97943525615167382</v>
      </c>
      <c r="N37" s="508">
        <f t="shared" si="15"/>
        <v>1.0882613957240821</v>
      </c>
      <c r="O37" s="508">
        <f t="shared" si="15"/>
        <v>1.0882613957240821</v>
      </c>
      <c r="P37" s="508">
        <f t="shared" si="15"/>
        <v>1.0882613957240821</v>
      </c>
      <c r="Q37" s="508">
        <f t="shared" si="15"/>
        <v>1.0882613957240821</v>
      </c>
      <c r="R37" s="508">
        <f t="shared" si="15"/>
        <v>1.0882613957240821</v>
      </c>
      <c r="S37" s="508">
        <f t="shared" si="15"/>
        <v>1.0882613957240821</v>
      </c>
      <c r="T37" s="508">
        <f t="shared" si="15"/>
        <v>1.0882613957240821</v>
      </c>
      <c r="U37" s="508">
        <f t="shared" si="15"/>
        <v>1.0882613957240821</v>
      </c>
      <c r="V37" s="508">
        <f t="shared" si="15"/>
        <v>1.0882613957240821</v>
      </c>
      <c r="W37" s="508">
        <f t="shared" si="15"/>
        <v>1.0882613957240821</v>
      </c>
      <c r="X37" s="508">
        <f t="shared" si="15"/>
        <v>1.0882613957240821</v>
      </c>
      <c r="Y37" s="508">
        <f t="shared" si="15"/>
        <v>1.0882613957240821</v>
      </c>
      <c r="Z37" s="508">
        <f t="shared" si="15"/>
        <v>1.0882613957240821</v>
      </c>
      <c r="AA37" s="508">
        <f t="shared" si="15"/>
        <v>1.0882613957240821</v>
      </c>
      <c r="AB37" s="508">
        <f t="shared" si="15"/>
        <v>1.0882613957240821</v>
      </c>
      <c r="AC37" s="508">
        <f t="shared" si="15"/>
        <v>0.76178297700685749</v>
      </c>
      <c r="AD37" s="508">
        <f t="shared" si="15"/>
        <v>0.51012252924566348</v>
      </c>
      <c r="AE37" s="508">
        <f t="shared" si="15"/>
        <v>0.51012252924566348</v>
      </c>
      <c r="AF37" s="180">
        <f t="shared" si="0"/>
        <v>24</v>
      </c>
      <c r="AH37" s="536" t="s">
        <v>70</v>
      </c>
      <c r="AI37" s="199"/>
      <c r="AJ37" s="199"/>
      <c r="AK37" s="199"/>
      <c r="AL37" s="199"/>
      <c r="AM37" s="199"/>
      <c r="AN37" s="199"/>
      <c r="AO37" s="199"/>
      <c r="AP37" s="199"/>
      <c r="AQ37" s="199"/>
      <c r="AR37" s="199"/>
      <c r="AS37" s="199"/>
      <c r="AT37" s="199"/>
      <c r="AU37" s="199"/>
    </row>
    <row r="38" spans="1:48" s="197" customFormat="1" x14ac:dyDescent="0.2">
      <c r="A38" s="476" t="s">
        <v>125</v>
      </c>
      <c r="B38" s="478"/>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80"/>
      <c r="AF38" s="180">
        <f t="shared" si="0"/>
        <v>25</v>
      </c>
      <c r="AI38" s="169"/>
      <c r="AJ38" s="169"/>
      <c r="AK38" s="169"/>
      <c r="AL38" s="169"/>
      <c r="AM38" s="169"/>
      <c r="AN38" s="169"/>
      <c r="AO38" s="169"/>
      <c r="AP38" s="169"/>
      <c r="AQ38" s="169"/>
      <c r="AR38" s="169"/>
      <c r="AS38" s="169"/>
      <c r="AT38" s="169"/>
      <c r="AU38" s="169"/>
    </row>
    <row r="39" spans="1:48" s="197" customFormat="1" x14ac:dyDescent="0.2">
      <c r="A39" s="471" t="s">
        <v>126</v>
      </c>
      <c r="B39" s="509">
        <f>B$36*$B107</f>
        <v>0.20313836224283988</v>
      </c>
      <c r="C39" s="477">
        <v>0</v>
      </c>
      <c r="D39" s="477">
        <v>0</v>
      </c>
      <c r="E39" s="477">
        <v>0</v>
      </c>
      <c r="F39" s="477">
        <v>0</v>
      </c>
      <c r="G39" s="477">
        <v>0</v>
      </c>
      <c r="H39" s="477">
        <v>0</v>
      </c>
      <c r="I39" s="477">
        <v>0</v>
      </c>
      <c r="J39" s="477">
        <v>0</v>
      </c>
      <c r="K39" s="477">
        <v>0</v>
      </c>
      <c r="L39" s="477">
        <v>0</v>
      </c>
      <c r="M39" s="477">
        <v>0</v>
      </c>
      <c r="N39" s="477">
        <v>0</v>
      </c>
      <c r="O39" s="477">
        <v>0</v>
      </c>
      <c r="P39" s="477">
        <v>0</v>
      </c>
      <c r="Q39" s="477">
        <v>0</v>
      </c>
      <c r="R39" s="477">
        <v>0</v>
      </c>
      <c r="S39" s="477">
        <v>0</v>
      </c>
      <c r="T39" s="477">
        <v>0</v>
      </c>
      <c r="U39" s="477">
        <v>0</v>
      </c>
      <c r="V39" s="477">
        <v>0</v>
      </c>
      <c r="W39" s="477">
        <v>0</v>
      </c>
      <c r="X39" s="477">
        <v>0</v>
      </c>
      <c r="Y39" s="477">
        <v>0</v>
      </c>
      <c r="Z39" s="477">
        <v>0</v>
      </c>
      <c r="AA39" s="477">
        <v>0</v>
      </c>
      <c r="AB39" s="477">
        <v>0</v>
      </c>
      <c r="AC39" s="477">
        <v>0</v>
      </c>
      <c r="AD39" s="477">
        <f>AD36</f>
        <v>0.75</v>
      </c>
      <c r="AE39" s="477">
        <f>AE36</f>
        <v>0.75</v>
      </c>
      <c r="AF39" s="180">
        <f t="shared" si="0"/>
        <v>26</v>
      </c>
      <c r="AG39" s="213"/>
      <c r="AI39" s="169"/>
      <c r="AJ39" s="169"/>
      <c r="AK39" s="169"/>
      <c r="AL39" s="169"/>
      <c r="AM39" s="169"/>
      <c r="AN39" s="169"/>
      <c r="AO39" s="169"/>
      <c r="AP39" s="169"/>
      <c r="AQ39" s="169"/>
      <c r="AR39" s="169"/>
      <c r="AS39" s="169"/>
      <c r="AT39" s="169"/>
      <c r="AU39" s="169"/>
    </row>
    <row r="40" spans="1:48" s="210" customFormat="1" x14ac:dyDescent="0.2">
      <c r="A40" s="471" t="s">
        <v>127</v>
      </c>
      <c r="B40" s="509">
        <f t="shared" ref="B40:B44" si="16">B$36*$B108</f>
        <v>1.1200000000000001</v>
      </c>
      <c r="C40" s="207">
        <f t="shared" ref="C40:AE40" si="17">ROUND(C36*50%,2)</f>
        <v>0.56000000000000005</v>
      </c>
      <c r="D40" s="207">
        <f t="shared" si="17"/>
        <v>0.56000000000000005</v>
      </c>
      <c r="E40" s="207">
        <f t="shared" si="17"/>
        <v>0.56000000000000005</v>
      </c>
      <c r="F40" s="207">
        <f t="shared" si="17"/>
        <v>0.56000000000000005</v>
      </c>
      <c r="G40" s="207">
        <f t="shared" si="17"/>
        <v>0.56000000000000005</v>
      </c>
      <c r="H40" s="207">
        <f t="shared" si="17"/>
        <v>0.64</v>
      </c>
      <c r="I40" s="207">
        <f t="shared" si="17"/>
        <v>0.64</v>
      </c>
      <c r="J40" s="207">
        <f t="shared" si="17"/>
        <v>0.64</v>
      </c>
      <c r="K40" s="207">
        <f t="shared" si="17"/>
        <v>0.72</v>
      </c>
      <c r="L40" s="207">
        <f t="shared" si="17"/>
        <v>0.72</v>
      </c>
      <c r="M40" s="207">
        <f t="shared" si="17"/>
        <v>0.72</v>
      </c>
      <c r="N40" s="207">
        <f t="shared" si="17"/>
        <v>0.8</v>
      </c>
      <c r="O40" s="207">
        <f t="shared" si="17"/>
        <v>0.8</v>
      </c>
      <c r="P40" s="207">
        <f t="shared" si="17"/>
        <v>0.8</v>
      </c>
      <c r="Q40" s="207">
        <f t="shared" si="17"/>
        <v>0.8</v>
      </c>
      <c r="R40" s="207">
        <f t="shared" si="17"/>
        <v>0.8</v>
      </c>
      <c r="S40" s="207">
        <f t="shared" si="17"/>
        <v>0.8</v>
      </c>
      <c r="T40" s="207">
        <f t="shared" si="17"/>
        <v>0.8</v>
      </c>
      <c r="U40" s="207">
        <f t="shared" si="17"/>
        <v>0.8</v>
      </c>
      <c r="V40" s="207">
        <f t="shared" si="17"/>
        <v>0.8</v>
      </c>
      <c r="W40" s="207">
        <f t="shared" si="17"/>
        <v>0.8</v>
      </c>
      <c r="X40" s="207">
        <f t="shared" si="17"/>
        <v>0.8</v>
      </c>
      <c r="Y40" s="207">
        <f t="shared" si="17"/>
        <v>0.8</v>
      </c>
      <c r="Z40" s="207">
        <f t="shared" si="17"/>
        <v>0.8</v>
      </c>
      <c r="AA40" s="207">
        <f t="shared" si="17"/>
        <v>0.8</v>
      </c>
      <c r="AB40" s="207">
        <f t="shared" si="17"/>
        <v>0.8</v>
      </c>
      <c r="AC40" s="207">
        <f t="shared" si="17"/>
        <v>0.56000000000000005</v>
      </c>
      <c r="AD40" s="207">
        <f t="shared" si="17"/>
        <v>0.38</v>
      </c>
      <c r="AE40" s="207">
        <f t="shared" si="17"/>
        <v>0.38</v>
      </c>
      <c r="AF40" s="180">
        <f t="shared" si="0"/>
        <v>27</v>
      </c>
      <c r="AG40" s="213"/>
      <c r="AH40" s="197"/>
      <c r="AI40" s="214"/>
      <c r="AJ40" s="199"/>
      <c r="AK40" s="199"/>
      <c r="AL40" s="199"/>
      <c r="AM40" s="199"/>
      <c r="AN40" s="199"/>
      <c r="AO40" s="199"/>
      <c r="AP40" s="199"/>
      <c r="AQ40" s="199"/>
      <c r="AR40" s="199"/>
      <c r="AS40" s="199"/>
      <c r="AT40" s="199"/>
      <c r="AU40" s="199"/>
    </row>
    <row r="41" spans="1:48" s="210" customFormat="1" x14ac:dyDescent="0.2">
      <c r="A41" s="471" t="s">
        <v>128</v>
      </c>
      <c r="B41" s="509">
        <f t="shared" si="16"/>
        <v>0.20313836224283988</v>
      </c>
      <c r="C41" s="207">
        <f t="shared" ref="C41:AE41" si="18">ROUND(C36*50%,2)</f>
        <v>0.56000000000000005</v>
      </c>
      <c r="D41" s="207">
        <f t="shared" si="18"/>
        <v>0.56000000000000005</v>
      </c>
      <c r="E41" s="207">
        <f t="shared" si="18"/>
        <v>0.56000000000000005</v>
      </c>
      <c r="F41" s="207">
        <f t="shared" si="18"/>
        <v>0.56000000000000005</v>
      </c>
      <c r="G41" s="207">
        <f t="shared" si="18"/>
        <v>0.56000000000000005</v>
      </c>
      <c r="H41" s="207">
        <f t="shared" si="18"/>
        <v>0.64</v>
      </c>
      <c r="I41" s="207">
        <f t="shared" si="18"/>
        <v>0.64</v>
      </c>
      <c r="J41" s="207">
        <f t="shared" si="18"/>
        <v>0.64</v>
      </c>
      <c r="K41" s="207">
        <f t="shared" si="18"/>
        <v>0.72</v>
      </c>
      <c r="L41" s="207">
        <f t="shared" si="18"/>
        <v>0.72</v>
      </c>
      <c r="M41" s="207">
        <f t="shared" si="18"/>
        <v>0.72</v>
      </c>
      <c r="N41" s="207">
        <f t="shared" si="18"/>
        <v>0.8</v>
      </c>
      <c r="O41" s="207">
        <f t="shared" si="18"/>
        <v>0.8</v>
      </c>
      <c r="P41" s="207">
        <f t="shared" si="18"/>
        <v>0.8</v>
      </c>
      <c r="Q41" s="207">
        <f t="shared" si="18"/>
        <v>0.8</v>
      </c>
      <c r="R41" s="207">
        <f t="shared" si="18"/>
        <v>0.8</v>
      </c>
      <c r="S41" s="207">
        <f t="shared" si="18"/>
        <v>0.8</v>
      </c>
      <c r="T41" s="207">
        <f t="shared" si="18"/>
        <v>0.8</v>
      </c>
      <c r="U41" s="207">
        <f t="shared" si="18"/>
        <v>0.8</v>
      </c>
      <c r="V41" s="207">
        <f t="shared" si="18"/>
        <v>0.8</v>
      </c>
      <c r="W41" s="207">
        <f t="shared" si="18"/>
        <v>0.8</v>
      </c>
      <c r="X41" s="207">
        <f t="shared" si="18"/>
        <v>0.8</v>
      </c>
      <c r="Y41" s="207">
        <f t="shared" si="18"/>
        <v>0.8</v>
      </c>
      <c r="Z41" s="207">
        <f t="shared" si="18"/>
        <v>0.8</v>
      </c>
      <c r="AA41" s="207">
        <f t="shared" si="18"/>
        <v>0.8</v>
      </c>
      <c r="AB41" s="207">
        <f t="shared" si="18"/>
        <v>0.8</v>
      </c>
      <c r="AC41" s="207">
        <f t="shared" si="18"/>
        <v>0.56000000000000005</v>
      </c>
      <c r="AD41" s="207">
        <f t="shared" si="18"/>
        <v>0.38</v>
      </c>
      <c r="AE41" s="207">
        <f t="shared" si="18"/>
        <v>0.38</v>
      </c>
      <c r="AF41" s="180">
        <f t="shared" si="0"/>
        <v>28</v>
      </c>
      <c r="AG41" s="215" t="s">
        <v>129</v>
      </c>
      <c r="AH41" s="216">
        <f>HLOOKUP($AH$37,$B$14:$AE$47,AF47,FALSE)</f>
        <v>0</v>
      </c>
      <c r="AI41" s="217"/>
      <c r="AJ41" s="199"/>
      <c r="AK41" s="199"/>
      <c r="AL41" s="199"/>
      <c r="AM41" s="199"/>
      <c r="AN41" s="199"/>
      <c r="AO41" s="199"/>
      <c r="AP41" s="199"/>
      <c r="AQ41" s="199"/>
      <c r="AR41" s="199"/>
      <c r="AS41" s="199"/>
      <c r="AT41" s="199"/>
      <c r="AU41" s="199"/>
    </row>
    <row r="42" spans="1:48" s="210" customFormat="1" x14ac:dyDescent="0.2">
      <c r="A42" s="471" t="s">
        <v>130</v>
      </c>
      <c r="B42" s="509">
        <f t="shared" si="16"/>
        <v>1.1200000000000001</v>
      </c>
      <c r="C42" s="207">
        <v>0.7</v>
      </c>
      <c r="D42" s="207">
        <v>0.7</v>
      </c>
      <c r="E42" s="207">
        <v>0.7</v>
      </c>
      <c r="F42" s="207">
        <v>0.8</v>
      </c>
      <c r="G42" s="207">
        <v>0.8</v>
      </c>
      <c r="H42" s="207">
        <v>0.8</v>
      </c>
      <c r="I42" s="207">
        <v>0.9</v>
      </c>
      <c r="J42" s="207">
        <v>1</v>
      </c>
      <c r="K42" s="207">
        <v>1.1000000000000001</v>
      </c>
      <c r="L42" s="207">
        <v>1.1000000000000001</v>
      </c>
      <c r="M42" s="207">
        <v>1.1000000000000001</v>
      </c>
      <c r="N42" s="207">
        <v>1.2</v>
      </c>
      <c r="O42" s="207">
        <v>1.2</v>
      </c>
      <c r="P42" s="207">
        <v>1.2</v>
      </c>
      <c r="Q42" s="207">
        <v>1.2</v>
      </c>
      <c r="R42" s="207">
        <v>1.5</v>
      </c>
      <c r="S42" s="207">
        <v>1.5</v>
      </c>
      <c r="T42" s="207">
        <v>1.5</v>
      </c>
      <c r="U42" s="207">
        <v>1.5</v>
      </c>
      <c r="V42" s="207">
        <v>1.5</v>
      </c>
      <c r="W42" s="207">
        <v>1.3</v>
      </c>
      <c r="X42" s="207">
        <v>1.2</v>
      </c>
      <c r="Y42" s="207">
        <v>0.9</v>
      </c>
      <c r="Z42" s="207">
        <v>0.9</v>
      </c>
      <c r="AA42" s="207">
        <v>0.9</v>
      </c>
      <c r="AB42" s="207">
        <v>0.9</v>
      </c>
      <c r="AC42" s="207">
        <v>0.9</v>
      </c>
      <c r="AD42" s="207">
        <f>ROUND(AD36*75%,2)</f>
        <v>0.56000000000000005</v>
      </c>
      <c r="AE42" s="207">
        <f>ROUND(AE36*75%,2)</f>
        <v>0.56000000000000005</v>
      </c>
      <c r="AF42" s="180">
        <f t="shared" si="0"/>
        <v>29</v>
      </c>
      <c r="AG42" s="218" t="s">
        <v>131</v>
      </c>
      <c r="AH42" s="219">
        <v>0.6</v>
      </c>
      <c r="AI42" s="220"/>
      <c r="AJ42" s="199"/>
      <c r="AK42" s="199"/>
      <c r="AL42" s="199"/>
      <c r="AM42" s="199"/>
      <c r="AN42" s="199"/>
      <c r="AO42" s="199"/>
      <c r="AP42" s="199"/>
      <c r="AQ42" s="199"/>
      <c r="AR42" s="199"/>
      <c r="AS42" s="199"/>
      <c r="AT42" s="199"/>
      <c r="AU42" s="199"/>
    </row>
    <row r="43" spans="1:48" x14ac:dyDescent="0.2">
      <c r="A43" s="471" t="s">
        <v>132</v>
      </c>
      <c r="B43" s="509">
        <f>IF(B$13="Deploy",B$36,B$36*$B111)</f>
        <v>0.96221056877773303</v>
      </c>
      <c r="C43" s="509">
        <f t="shared" ref="C43:AE43" si="19">IF(C$13="Deploy",C$36,C$36*$B111)</f>
        <v>0.96221056877773303</v>
      </c>
      <c r="D43" s="509">
        <f t="shared" si="19"/>
        <v>0.96221056877773303</v>
      </c>
      <c r="E43" s="509">
        <f t="shared" si="19"/>
        <v>0.96221056877773303</v>
      </c>
      <c r="F43" s="509">
        <f t="shared" si="19"/>
        <v>0.96221056877773303</v>
      </c>
      <c r="G43" s="509">
        <f t="shared" si="19"/>
        <v>0.96221056877773303</v>
      </c>
      <c r="H43" s="509">
        <f t="shared" si="19"/>
        <v>1.0996692214602661</v>
      </c>
      <c r="I43" s="509">
        <f t="shared" si="19"/>
        <v>1.0996692214602661</v>
      </c>
      <c r="J43" s="509">
        <f t="shared" si="19"/>
        <v>1.0996692214602661</v>
      </c>
      <c r="K43" s="509">
        <f t="shared" si="19"/>
        <v>1.2371278741427993</v>
      </c>
      <c r="L43" s="509">
        <f t="shared" si="19"/>
        <v>1.2371278741427993</v>
      </c>
      <c r="M43" s="509">
        <f t="shared" si="19"/>
        <v>1.2371278741427993</v>
      </c>
      <c r="N43" s="509">
        <f t="shared" si="19"/>
        <v>1.3745865268253328</v>
      </c>
      <c r="O43" s="509">
        <f t="shared" si="19"/>
        <v>1.3745865268253328</v>
      </c>
      <c r="P43" s="509">
        <f t="shared" si="19"/>
        <v>1.3745865268253328</v>
      </c>
      <c r="Q43" s="509">
        <f t="shared" si="19"/>
        <v>1.3745865268253328</v>
      </c>
      <c r="R43" s="509">
        <f t="shared" si="19"/>
        <v>1.6</v>
      </c>
      <c r="S43" s="509">
        <f t="shared" si="19"/>
        <v>1.6</v>
      </c>
      <c r="T43" s="509">
        <f t="shared" si="19"/>
        <v>1.6</v>
      </c>
      <c r="U43" s="509">
        <f t="shared" si="19"/>
        <v>1.6</v>
      </c>
      <c r="V43" s="509">
        <f t="shared" si="19"/>
        <v>1.6</v>
      </c>
      <c r="W43" s="509">
        <f t="shared" si="19"/>
        <v>1.6</v>
      </c>
      <c r="X43" s="509">
        <f t="shared" si="19"/>
        <v>1.3745865268253328</v>
      </c>
      <c r="Y43" s="509">
        <f t="shared" si="19"/>
        <v>1.3745865268253328</v>
      </c>
      <c r="Z43" s="509">
        <f t="shared" si="19"/>
        <v>1.3745865268253328</v>
      </c>
      <c r="AA43" s="509">
        <f t="shared" si="19"/>
        <v>1.3745865268253328</v>
      </c>
      <c r="AB43" s="509">
        <f t="shared" si="19"/>
        <v>1.3745865268253328</v>
      </c>
      <c r="AC43" s="509">
        <f t="shared" si="19"/>
        <v>0.96221056877773303</v>
      </c>
      <c r="AD43" s="509">
        <f t="shared" si="19"/>
        <v>0.64433743444937475</v>
      </c>
      <c r="AE43" s="509">
        <f t="shared" si="19"/>
        <v>0.64433743444937475</v>
      </c>
      <c r="AF43" s="180">
        <f t="shared" si="0"/>
        <v>30</v>
      </c>
      <c r="AG43" s="224" t="s">
        <v>133</v>
      </c>
      <c r="AH43" s="225">
        <f>IF(AH41-AH42&lt;0,0,AH41-AH42)</f>
        <v>0</v>
      </c>
      <c r="AI43" s="220"/>
      <c r="AJ43" s="169"/>
      <c r="AK43" s="169"/>
      <c r="AL43" s="169"/>
      <c r="AM43" s="169"/>
      <c r="AN43" s="169"/>
      <c r="AO43" s="169"/>
      <c r="AP43" s="169"/>
      <c r="AQ43" s="169"/>
      <c r="AR43" s="169"/>
      <c r="AS43" s="169"/>
      <c r="AT43" s="169"/>
      <c r="AU43" s="169"/>
      <c r="AV43" s="169"/>
    </row>
    <row r="44" spans="1:48" ht="12.75" x14ac:dyDescent="0.2">
      <c r="A44" s="472" t="s">
        <v>134</v>
      </c>
      <c r="B44" s="509">
        <f t="shared" si="16"/>
        <v>1.1200000000000001</v>
      </c>
      <c r="C44" s="212">
        <f t="shared" ref="C44:AE44" si="20">C36</f>
        <v>1.1200000000000001</v>
      </c>
      <c r="D44" s="212">
        <f t="shared" si="20"/>
        <v>1.1200000000000001</v>
      </c>
      <c r="E44" s="212">
        <f t="shared" si="20"/>
        <v>1.1200000000000001</v>
      </c>
      <c r="F44" s="212">
        <f t="shared" si="20"/>
        <v>1.1200000000000001</v>
      </c>
      <c r="G44" s="212">
        <f t="shared" si="20"/>
        <v>1.1200000000000001</v>
      </c>
      <c r="H44" s="212">
        <f t="shared" si="20"/>
        <v>1.28</v>
      </c>
      <c r="I44" s="212">
        <f t="shared" si="20"/>
        <v>1.28</v>
      </c>
      <c r="J44" s="212">
        <f t="shared" si="20"/>
        <v>1.28</v>
      </c>
      <c r="K44" s="212">
        <f t="shared" si="20"/>
        <v>1.44</v>
      </c>
      <c r="L44" s="212">
        <f t="shared" si="20"/>
        <v>1.44</v>
      </c>
      <c r="M44" s="212">
        <f t="shared" si="20"/>
        <v>1.44</v>
      </c>
      <c r="N44" s="212">
        <f t="shared" si="20"/>
        <v>1.6</v>
      </c>
      <c r="O44" s="212">
        <f t="shared" si="20"/>
        <v>1.6</v>
      </c>
      <c r="P44" s="212">
        <f t="shared" si="20"/>
        <v>1.6</v>
      </c>
      <c r="Q44" s="212">
        <f t="shared" si="20"/>
        <v>1.6</v>
      </c>
      <c r="R44" s="212">
        <f t="shared" si="20"/>
        <v>1.6</v>
      </c>
      <c r="S44" s="212">
        <f t="shared" si="20"/>
        <v>1.6</v>
      </c>
      <c r="T44" s="212">
        <f t="shared" si="20"/>
        <v>1.6</v>
      </c>
      <c r="U44" s="212">
        <f t="shared" si="20"/>
        <v>1.6</v>
      </c>
      <c r="V44" s="212">
        <f t="shared" si="20"/>
        <v>1.6</v>
      </c>
      <c r="W44" s="212">
        <f t="shared" si="20"/>
        <v>1.6</v>
      </c>
      <c r="X44" s="212">
        <f t="shared" si="20"/>
        <v>1.6</v>
      </c>
      <c r="Y44" s="212">
        <f t="shared" si="20"/>
        <v>1.6</v>
      </c>
      <c r="Z44" s="212">
        <f t="shared" si="20"/>
        <v>1.6</v>
      </c>
      <c r="AA44" s="212">
        <f t="shared" si="20"/>
        <v>1.6</v>
      </c>
      <c r="AB44" s="212">
        <f t="shared" si="20"/>
        <v>1.6</v>
      </c>
      <c r="AC44" s="212">
        <f t="shared" si="20"/>
        <v>1.1200000000000001</v>
      </c>
      <c r="AD44" s="212">
        <f t="shared" si="20"/>
        <v>0.75</v>
      </c>
      <c r="AE44" s="212">
        <f t="shared" si="20"/>
        <v>0.75</v>
      </c>
      <c r="AF44" s="180">
        <f t="shared" si="0"/>
        <v>31</v>
      </c>
      <c r="AG44" s="215" t="s">
        <v>135</v>
      </c>
      <c r="AH44" s="226">
        <f>HLOOKUP($AH$37,$B$14:$AE$47,26,FALSE)</f>
        <v>0</v>
      </c>
      <c r="AJ44" s="169"/>
      <c r="AK44" s="169"/>
      <c r="AL44" s="169"/>
      <c r="AM44" s="169"/>
      <c r="AN44" s="169"/>
      <c r="AO44" s="169"/>
      <c r="AP44" s="169"/>
      <c r="AQ44" s="169"/>
      <c r="AR44" s="169"/>
      <c r="AS44" s="169"/>
      <c r="AT44" s="169"/>
      <c r="AU44" s="169"/>
      <c r="AV44" s="169"/>
    </row>
    <row r="45" spans="1:48" x14ac:dyDescent="0.2">
      <c r="A45" s="476" t="s">
        <v>136</v>
      </c>
      <c r="B45" s="478"/>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80"/>
      <c r="AF45" s="180">
        <f t="shared" si="0"/>
        <v>32</v>
      </c>
      <c r="AG45" s="227" t="s">
        <v>137</v>
      </c>
      <c r="AH45" s="228">
        <f>ROUND(IF(ISERROR(IF((AH43/AH41)*AH44&lt;0,0,(AH43/AH41)*AH44)),0,IF((AH43/AH41)*AH44&lt;0,0,(AH43/AH41)*AH44)),2)</f>
        <v>0</v>
      </c>
      <c r="AI45" s="220"/>
      <c r="AJ45" s="169"/>
      <c r="AK45" s="169"/>
      <c r="AL45" s="169"/>
      <c r="AM45" s="169"/>
      <c r="AN45" s="169"/>
      <c r="AO45" s="169"/>
      <c r="AP45" s="169"/>
      <c r="AQ45" s="169"/>
      <c r="AR45" s="169"/>
      <c r="AS45" s="169"/>
      <c r="AT45" s="169"/>
      <c r="AU45" s="169"/>
      <c r="AV45" s="169"/>
    </row>
    <row r="46" spans="1:48" x14ac:dyDescent="0.2">
      <c r="A46" s="90" t="s">
        <v>138</v>
      </c>
      <c r="B46" s="481">
        <v>0</v>
      </c>
      <c r="C46" s="481">
        <v>0</v>
      </c>
      <c r="D46" s="481">
        <v>0</v>
      </c>
      <c r="E46" s="481">
        <v>0</v>
      </c>
      <c r="F46" s="481">
        <v>0</v>
      </c>
      <c r="G46" s="481">
        <v>0</v>
      </c>
      <c r="H46" s="481">
        <v>0</v>
      </c>
      <c r="I46" s="481">
        <v>0</v>
      </c>
      <c r="J46" s="481">
        <v>0</v>
      </c>
      <c r="K46" s="481">
        <v>0</v>
      </c>
      <c r="L46" s="481">
        <v>0</v>
      </c>
      <c r="M46" s="481">
        <v>0</v>
      </c>
      <c r="N46" s="481">
        <v>0</v>
      </c>
      <c r="O46" s="481">
        <v>0</v>
      </c>
      <c r="P46" s="481">
        <v>0</v>
      </c>
      <c r="Q46" s="481">
        <v>0</v>
      </c>
      <c r="R46" s="481">
        <v>0</v>
      </c>
      <c r="S46" s="481">
        <v>0</v>
      </c>
      <c r="T46" s="481">
        <v>0</v>
      </c>
      <c r="U46" s="481">
        <v>0</v>
      </c>
      <c r="V46" s="481">
        <v>0</v>
      </c>
      <c r="W46" s="481">
        <v>0</v>
      </c>
      <c r="X46" s="481">
        <v>0</v>
      </c>
      <c r="Y46" s="481">
        <v>0</v>
      </c>
      <c r="Z46" s="481">
        <v>0</v>
      </c>
      <c r="AA46" s="481">
        <v>0</v>
      </c>
      <c r="AB46" s="481">
        <v>0</v>
      </c>
      <c r="AC46" s="481">
        <v>0</v>
      </c>
      <c r="AD46" s="481">
        <v>2</v>
      </c>
      <c r="AE46" s="481">
        <v>1</v>
      </c>
      <c r="AF46" s="180">
        <f t="shared" si="0"/>
        <v>33</v>
      </c>
      <c r="AG46" s="229" t="s">
        <v>139</v>
      </c>
      <c r="AH46" s="230">
        <f>AH44-AH45</f>
        <v>0</v>
      </c>
      <c r="AI46" s="169"/>
      <c r="AJ46" s="169"/>
      <c r="AK46" s="169"/>
      <c r="AL46" s="169"/>
      <c r="AM46" s="169"/>
      <c r="AN46" s="169"/>
      <c r="AO46" s="169"/>
      <c r="AP46" s="169"/>
      <c r="AQ46" s="169"/>
      <c r="AR46" s="169"/>
      <c r="AS46" s="169"/>
      <c r="AT46" s="169"/>
      <c r="AU46" s="169"/>
      <c r="AV46" s="169"/>
    </row>
    <row r="47" spans="1:48" x14ac:dyDescent="0.2">
      <c r="A47" s="90" t="s">
        <v>140</v>
      </c>
      <c r="B47" s="207">
        <v>0</v>
      </c>
      <c r="C47" s="207">
        <v>0</v>
      </c>
      <c r="D47" s="207">
        <v>0</v>
      </c>
      <c r="E47" s="207">
        <v>0</v>
      </c>
      <c r="F47" s="207">
        <v>0</v>
      </c>
      <c r="G47" s="207">
        <v>0</v>
      </c>
      <c r="H47" s="207">
        <v>0</v>
      </c>
      <c r="I47" s="207">
        <v>0</v>
      </c>
      <c r="J47" s="207">
        <v>0</v>
      </c>
      <c r="K47" s="207">
        <v>0</v>
      </c>
      <c r="L47" s="207">
        <v>0</v>
      </c>
      <c r="M47" s="207">
        <v>0</v>
      </c>
      <c r="N47" s="207">
        <v>0</v>
      </c>
      <c r="O47" s="207">
        <v>0</v>
      </c>
      <c r="P47" s="207">
        <v>0</v>
      </c>
      <c r="Q47" s="207">
        <v>0</v>
      </c>
      <c r="R47" s="207">
        <v>0</v>
      </c>
      <c r="S47" s="207">
        <v>0</v>
      </c>
      <c r="T47" s="207">
        <v>0</v>
      </c>
      <c r="U47" s="207">
        <v>0</v>
      </c>
      <c r="V47" s="207">
        <v>0</v>
      </c>
      <c r="W47" s="207">
        <v>0</v>
      </c>
      <c r="X47" s="207">
        <v>0</v>
      </c>
      <c r="Y47" s="207">
        <v>0</v>
      </c>
      <c r="Z47" s="207">
        <v>0</v>
      </c>
      <c r="AA47" s="207">
        <v>0</v>
      </c>
      <c r="AB47" s="207">
        <v>0</v>
      </c>
      <c r="AC47" s="207">
        <v>0</v>
      </c>
      <c r="AD47" s="207">
        <v>1.5</v>
      </c>
      <c r="AE47" s="207">
        <v>0.7</v>
      </c>
      <c r="AF47" s="180">
        <f t="shared" si="0"/>
        <v>34</v>
      </c>
      <c r="AI47" s="169"/>
      <c r="AJ47" s="169"/>
      <c r="AK47" s="169"/>
      <c r="AL47" s="169"/>
      <c r="AM47" s="169"/>
      <c r="AN47" s="169"/>
      <c r="AO47" s="169"/>
      <c r="AP47" s="169"/>
      <c r="AQ47" s="169"/>
      <c r="AR47" s="169"/>
      <c r="AS47" s="169"/>
      <c r="AT47" s="169"/>
      <c r="AU47" s="169"/>
      <c r="AV47" s="169"/>
    </row>
    <row r="48" spans="1:48" ht="12.75" x14ac:dyDescent="0.2">
      <c r="A48" s="312" t="s">
        <v>141</v>
      </c>
      <c r="B48" s="221"/>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3"/>
      <c r="AF48" s="169"/>
      <c r="AG48" s="169"/>
      <c r="AH48" s="169"/>
      <c r="AI48" s="169"/>
      <c r="AJ48" s="169"/>
      <c r="AK48" s="169"/>
      <c r="AL48" s="169"/>
      <c r="AM48" s="169"/>
      <c r="AN48" s="169"/>
      <c r="AO48" s="169"/>
      <c r="AP48" s="169"/>
      <c r="AQ48" s="169"/>
      <c r="AR48" s="169"/>
      <c r="AS48" s="169"/>
      <c r="AT48" s="169"/>
      <c r="AU48" s="169"/>
      <c r="AV48" s="169"/>
    </row>
    <row r="49" spans="1:48" x14ac:dyDescent="0.2">
      <c r="A49" s="211" t="s">
        <v>142</v>
      </c>
      <c r="B49" s="330">
        <f t="shared" ref="B49:AB49" si="21">$B$75</f>
        <v>6</v>
      </c>
      <c r="C49" s="330">
        <f t="shared" si="21"/>
        <v>6</v>
      </c>
      <c r="D49" s="330">
        <f t="shared" si="21"/>
        <v>6</v>
      </c>
      <c r="E49" s="330">
        <f t="shared" si="21"/>
        <v>6</v>
      </c>
      <c r="F49" s="330">
        <f t="shared" si="21"/>
        <v>6</v>
      </c>
      <c r="G49" s="330">
        <f t="shared" si="21"/>
        <v>6</v>
      </c>
      <c r="H49" s="330">
        <f t="shared" si="21"/>
        <v>6</v>
      </c>
      <c r="I49" s="330">
        <f t="shared" si="21"/>
        <v>6</v>
      </c>
      <c r="J49" s="330">
        <f t="shared" si="21"/>
        <v>6</v>
      </c>
      <c r="K49" s="330">
        <f t="shared" si="21"/>
        <v>6</v>
      </c>
      <c r="L49" s="330">
        <f t="shared" si="21"/>
        <v>6</v>
      </c>
      <c r="M49" s="330">
        <f t="shared" si="21"/>
        <v>6</v>
      </c>
      <c r="N49" s="330">
        <f t="shared" si="21"/>
        <v>6</v>
      </c>
      <c r="O49" s="330">
        <f t="shared" si="21"/>
        <v>6</v>
      </c>
      <c r="P49" s="330">
        <f t="shared" si="21"/>
        <v>6</v>
      </c>
      <c r="Q49" s="330">
        <f t="shared" si="21"/>
        <v>6</v>
      </c>
      <c r="R49" s="330">
        <f t="shared" si="21"/>
        <v>6</v>
      </c>
      <c r="S49" s="330">
        <f t="shared" si="21"/>
        <v>6</v>
      </c>
      <c r="T49" s="330">
        <f t="shared" si="21"/>
        <v>6</v>
      </c>
      <c r="U49" s="330">
        <f t="shared" si="21"/>
        <v>6</v>
      </c>
      <c r="V49" s="330">
        <f t="shared" si="21"/>
        <v>6</v>
      </c>
      <c r="W49" s="330">
        <f t="shared" si="21"/>
        <v>6</v>
      </c>
      <c r="X49" s="330">
        <f t="shared" si="21"/>
        <v>6</v>
      </c>
      <c r="Y49" s="330">
        <f t="shared" si="21"/>
        <v>6</v>
      </c>
      <c r="Z49" s="330">
        <f t="shared" si="21"/>
        <v>6</v>
      </c>
      <c r="AA49" s="330">
        <f t="shared" si="21"/>
        <v>6</v>
      </c>
      <c r="AB49" s="331">
        <f t="shared" si="21"/>
        <v>6</v>
      </c>
      <c r="AC49" s="47">
        <f>$B$75</f>
        <v>6</v>
      </c>
      <c r="AD49" s="47">
        <v>4</v>
      </c>
      <c r="AE49" s="47">
        <v>2</v>
      </c>
      <c r="AF49" s="169"/>
      <c r="AG49" s="169"/>
      <c r="AH49" s="169"/>
      <c r="AI49" s="169"/>
      <c r="AJ49" s="169"/>
      <c r="AK49" s="169"/>
      <c r="AL49" s="169"/>
      <c r="AM49" s="169"/>
      <c r="AN49" s="169"/>
      <c r="AO49" s="169"/>
      <c r="AP49" s="169"/>
      <c r="AQ49" s="169"/>
      <c r="AR49" s="169"/>
      <c r="AS49" s="169"/>
      <c r="AT49" s="169"/>
      <c r="AU49" s="169"/>
      <c r="AV49" s="169"/>
    </row>
    <row r="50" spans="1:48" x14ac:dyDescent="0.2">
      <c r="A50" s="211" t="s">
        <v>143</v>
      </c>
      <c r="B50" s="309">
        <f t="shared" ref="B50:Z50" si="22">$B$76</f>
        <v>6</v>
      </c>
      <c r="C50" s="309">
        <f t="shared" si="22"/>
        <v>6</v>
      </c>
      <c r="D50" s="309">
        <f t="shared" si="22"/>
        <v>6</v>
      </c>
      <c r="E50" s="309">
        <f t="shared" si="22"/>
        <v>6</v>
      </c>
      <c r="F50" s="309">
        <f t="shared" si="22"/>
        <v>6</v>
      </c>
      <c r="G50" s="309">
        <f t="shared" si="22"/>
        <v>6</v>
      </c>
      <c r="H50" s="309">
        <f t="shared" si="22"/>
        <v>6</v>
      </c>
      <c r="I50" s="309">
        <f t="shared" si="22"/>
        <v>6</v>
      </c>
      <c r="J50" s="309">
        <f t="shared" si="22"/>
        <v>6</v>
      </c>
      <c r="K50" s="309">
        <f t="shared" si="22"/>
        <v>6</v>
      </c>
      <c r="L50" s="309">
        <f t="shared" si="22"/>
        <v>6</v>
      </c>
      <c r="M50" s="309">
        <f t="shared" si="22"/>
        <v>6</v>
      </c>
      <c r="N50" s="309">
        <f t="shared" si="22"/>
        <v>6</v>
      </c>
      <c r="O50" s="309">
        <f t="shared" si="22"/>
        <v>6</v>
      </c>
      <c r="P50" s="309">
        <f t="shared" si="22"/>
        <v>6</v>
      </c>
      <c r="Q50" s="309">
        <f t="shared" si="22"/>
        <v>6</v>
      </c>
      <c r="R50" s="309">
        <f t="shared" si="22"/>
        <v>6</v>
      </c>
      <c r="S50" s="309">
        <f t="shared" si="22"/>
        <v>6</v>
      </c>
      <c r="T50" s="309">
        <f t="shared" si="22"/>
        <v>6</v>
      </c>
      <c r="U50" s="309">
        <f t="shared" si="22"/>
        <v>6</v>
      </c>
      <c r="V50" s="309">
        <f t="shared" si="22"/>
        <v>6</v>
      </c>
      <c r="W50" s="309">
        <f t="shared" si="22"/>
        <v>6</v>
      </c>
      <c r="X50" s="309">
        <f t="shared" si="22"/>
        <v>6</v>
      </c>
      <c r="Y50" s="309">
        <f t="shared" si="22"/>
        <v>6</v>
      </c>
      <c r="Z50" s="309">
        <f t="shared" si="22"/>
        <v>6</v>
      </c>
      <c r="AA50" s="309">
        <f>$B$76</f>
        <v>6</v>
      </c>
      <c r="AB50" s="309">
        <f>$B$76</f>
        <v>6</v>
      </c>
      <c r="AC50" s="47">
        <f>ROUNDUP(IF(AC$13="Deploy",MAX((AC$66/100)*$B76,$B76),(AC$66/100)*$B76),0)</f>
        <v>1</v>
      </c>
      <c r="AD50" s="47">
        <v>2</v>
      </c>
      <c r="AE50" s="47">
        <v>2</v>
      </c>
      <c r="AF50" s="169"/>
      <c r="AG50" s="169"/>
      <c r="AH50" s="169"/>
      <c r="AI50" s="169"/>
      <c r="AJ50" s="169"/>
      <c r="AK50" s="169"/>
      <c r="AL50" s="169"/>
      <c r="AM50" s="169"/>
      <c r="AN50" s="169"/>
      <c r="AO50" s="169"/>
      <c r="AP50" s="169"/>
      <c r="AQ50" s="169"/>
      <c r="AR50" s="169"/>
      <c r="AS50" s="169"/>
      <c r="AT50" s="169"/>
      <c r="AU50" s="169"/>
      <c r="AV50" s="169"/>
    </row>
    <row r="51" spans="1:48" x14ac:dyDescent="0.2">
      <c r="A51" s="211" t="s">
        <v>144</v>
      </c>
      <c r="B51" s="332">
        <f t="shared" ref="B51:AB51" si="23">$B$77</f>
        <v>6</v>
      </c>
      <c r="C51" s="332">
        <f t="shared" si="23"/>
        <v>6</v>
      </c>
      <c r="D51" s="332">
        <f t="shared" si="23"/>
        <v>6</v>
      </c>
      <c r="E51" s="332">
        <f t="shared" si="23"/>
        <v>6</v>
      </c>
      <c r="F51" s="332">
        <f t="shared" si="23"/>
        <v>6</v>
      </c>
      <c r="G51" s="332">
        <f t="shared" si="23"/>
        <v>6</v>
      </c>
      <c r="H51" s="332">
        <f t="shared" si="23"/>
        <v>6</v>
      </c>
      <c r="I51" s="332">
        <f t="shared" si="23"/>
        <v>6</v>
      </c>
      <c r="J51" s="332">
        <f t="shared" si="23"/>
        <v>6</v>
      </c>
      <c r="K51" s="332">
        <f t="shared" si="23"/>
        <v>6</v>
      </c>
      <c r="L51" s="332">
        <f t="shared" si="23"/>
        <v>6</v>
      </c>
      <c r="M51" s="332">
        <f t="shared" si="23"/>
        <v>6</v>
      </c>
      <c r="N51" s="332">
        <f t="shared" si="23"/>
        <v>6</v>
      </c>
      <c r="O51" s="332">
        <f t="shared" si="23"/>
        <v>6</v>
      </c>
      <c r="P51" s="332">
        <f t="shared" si="23"/>
        <v>6</v>
      </c>
      <c r="Q51" s="332">
        <f t="shared" si="23"/>
        <v>6</v>
      </c>
      <c r="R51" s="332">
        <f t="shared" si="23"/>
        <v>6</v>
      </c>
      <c r="S51" s="332">
        <f t="shared" si="23"/>
        <v>6</v>
      </c>
      <c r="T51" s="332">
        <f t="shared" si="23"/>
        <v>6</v>
      </c>
      <c r="U51" s="332">
        <f t="shared" si="23"/>
        <v>6</v>
      </c>
      <c r="V51" s="332">
        <f t="shared" si="23"/>
        <v>6</v>
      </c>
      <c r="W51" s="332">
        <f t="shared" si="23"/>
        <v>6</v>
      </c>
      <c r="X51" s="332">
        <f t="shared" si="23"/>
        <v>6</v>
      </c>
      <c r="Y51" s="332">
        <f t="shared" si="23"/>
        <v>6</v>
      </c>
      <c r="Z51" s="332">
        <f t="shared" si="23"/>
        <v>6</v>
      </c>
      <c r="AA51" s="332">
        <f t="shared" si="23"/>
        <v>6</v>
      </c>
      <c r="AB51" s="332">
        <f t="shared" si="23"/>
        <v>6</v>
      </c>
      <c r="AC51" s="47">
        <f>$B$77</f>
        <v>6</v>
      </c>
      <c r="AD51" s="47">
        <v>6</v>
      </c>
      <c r="AE51" s="47">
        <v>6</v>
      </c>
      <c r="AF51" s="169"/>
      <c r="AG51" s="169"/>
      <c r="AH51" s="169"/>
      <c r="AI51" s="169"/>
      <c r="AJ51" s="169"/>
      <c r="AK51" s="169"/>
      <c r="AL51" s="169"/>
      <c r="AM51" s="169"/>
      <c r="AN51" s="169"/>
      <c r="AO51" s="169"/>
      <c r="AP51" s="169"/>
      <c r="AQ51" s="169"/>
      <c r="AR51" s="169"/>
      <c r="AS51" s="169"/>
      <c r="AT51" s="169"/>
      <c r="AU51" s="169"/>
      <c r="AV51" s="169"/>
    </row>
    <row r="52" spans="1:48" x14ac:dyDescent="0.2">
      <c r="A52" s="211" t="s">
        <v>145</v>
      </c>
      <c r="B52" s="332">
        <f t="shared" ref="B52:Q52" si="24">$B$78</f>
        <v>6</v>
      </c>
      <c r="C52" s="332">
        <f t="shared" si="24"/>
        <v>6</v>
      </c>
      <c r="D52" s="332">
        <f t="shared" si="24"/>
        <v>6</v>
      </c>
      <c r="E52" s="332">
        <f t="shared" si="24"/>
        <v>6</v>
      </c>
      <c r="F52" s="332">
        <f t="shared" si="24"/>
        <v>6</v>
      </c>
      <c r="G52" s="332">
        <f t="shared" si="24"/>
        <v>6</v>
      </c>
      <c r="H52" s="332">
        <f t="shared" si="24"/>
        <v>6</v>
      </c>
      <c r="I52" s="332">
        <f t="shared" si="24"/>
        <v>6</v>
      </c>
      <c r="J52" s="332">
        <f t="shared" si="24"/>
        <v>6</v>
      </c>
      <c r="K52" s="332">
        <f t="shared" si="24"/>
        <v>6</v>
      </c>
      <c r="L52" s="332">
        <f t="shared" si="24"/>
        <v>6</v>
      </c>
      <c r="M52" s="332">
        <f t="shared" si="24"/>
        <v>6</v>
      </c>
      <c r="N52" s="332">
        <f t="shared" si="24"/>
        <v>6</v>
      </c>
      <c r="O52" s="332">
        <f t="shared" si="24"/>
        <v>6</v>
      </c>
      <c r="P52" s="332">
        <f t="shared" si="24"/>
        <v>6</v>
      </c>
      <c r="Q52" s="332">
        <f t="shared" si="24"/>
        <v>6</v>
      </c>
      <c r="R52" s="332">
        <f t="shared" ref="R52:Z52" si="25">R51</f>
        <v>6</v>
      </c>
      <c r="S52" s="332">
        <f t="shared" si="25"/>
        <v>6</v>
      </c>
      <c r="T52" s="332">
        <f t="shared" si="25"/>
        <v>6</v>
      </c>
      <c r="U52" s="332">
        <f t="shared" si="25"/>
        <v>6</v>
      </c>
      <c r="V52" s="332">
        <f t="shared" si="25"/>
        <v>6</v>
      </c>
      <c r="W52" s="332">
        <f t="shared" si="25"/>
        <v>6</v>
      </c>
      <c r="X52" s="332">
        <f t="shared" si="25"/>
        <v>6</v>
      </c>
      <c r="Y52" s="332">
        <f t="shared" si="25"/>
        <v>6</v>
      </c>
      <c r="Z52" s="332">
        <f t="shared" si="25"/>
        <v>6</v>
      </c>
      <c r="AA52" s="332">
        <f>$B$78</f>
        <v>6</v>
      </c>
      <c r="AB52" s="332">
        <f>$B$78</f>
        <v>6</v>
      </c>
      <c r="AC52" s="47">
        <f t="shared" ref="AC52:AC57" si="26">ROUNDUP(IF(AC$13="Deploy",MAX((AC$66/100)*$B78,$B78),(AC$66/100)*$B78),0)</f>
        <v>1</v>
      </c>
      <c r="AD52" s="47">
        <v>4</v>
      </c>
      <c r="AE52" s="47">
        <v>4</v>
      </c>
      <c r="AF52" s="169"/>
      <c r="AG52" s="169"/>
      <c r="AH52" s="169"/>
      <c r="AI52" s="169"/>
      <c r="AJ52" s="169"/>
      <c r="AK52" s="169"/>
      <c r="AL52" s="169"/>
      <c r="AM52" s="169"/>
      <c r="AN52" s="169"/>
      <c r="AO52" s="169"/>
      <c r="AP52" s="169"/>
      <c r="AQ52" s="169"/>
      <c r="AR52" s="169"/>
      <c r="AS52" s="169"/>
      <c r="AT52" s="169"/>
      <c r="AU52" s="169"/>
      <c r="AV52" s="169"/>
    </row>
    <row r="53" spans="1:48" ht="12.75" x14ac:dyDescent="0.2">
      <c r="A53" s="211" t="str">
        <f>A79</f>
        <v>&gt; L3 Pilots</v>
      </c>
      <c r="B53" s="333">
        <f t="shared" ref="B53:AB53" si="27">ROUNDUP(IF(B$13="Deploy",MAX((B$69/100)*$B79,$B79),(B$69/100)*$B79),0)</f>
        <v>2</v>
      </c>
      <c r="C53" s="333">
        <f t="shared" si="27"/>
        <v>2</v>
      </c>
      <c r="D53" s="333">
        <f t="shared" si="27"/>
        <v>2</v>
      </c>
      <c r="E53" s="333">
        <f t="shared" si="27"/>
        <v>2</v>
      </c>
      <c r="F53" s="333">
        <f t="shared" si="27"/>
        <v>2</v>
      </c>
      <c r="G53" s="333">
        <f t="shared" si="27"/>
        <v>2</v>
      </c>
      <c r="H53" s="333">
        <f t="shared" si="27"/>
        <v>2</v>
      </c>
      <c r="I53" s="333">
        <f t="shared" si="27"/>
        <v>2</v>
      </c>
      <c r="J53" s="333">
        <f t="shared" si="27"/>
        <v>2</v>
      </c>
      <c r="K53" s="333">
        <f t="shared" si="27"/>
        <v>2</v>
      </c>
      <c r="L53" s="333">
        <f t="shared" si="27"/>
        <v>3</v>
      </c>
      <c r="M53" s="333">
        <f t="shared" si="27"/>
        <v>3</v>
      </c>
      <c r="N53" s="333">
        <f t="shared" si="27"/>
        <v>3</v>
      </c>
      <c r="O53" s="333">
        <f t="shared" si="27"/>
        <v>3</v>
      </c>
      <c r="P53" s="333">
        <f t="shared" si="27"/>
        <v>3</v>
      </c>
      <c r="Q53" s="333">
        <f t="shared" si="27"/>
        <v>3</v>
      </c>
      <c r="R53" s="333">
        <f t="shared" si="27"/>
        <v>3</v>
      </c>
      <c r="S53" s="333">
        <f t="shared" si="27"/>
        <v>3</v>
      </c>
      <c r="T53" s="333">
        <f t="shared" si="27"/>
        <v>3</v>
      </c>
      <c r="U53" s="333">
        <f t="shared" si="27"/>
        <v>3</v>
      </c>
      <c r="V53" s="333">
        <f t="shared" si="27"/>
        <v>3</v>
      </c>
      <c r="W53" s="333">
        <f t="shared" si="27"/>
        <v>3</v>
      </c>
      <c r="X53" s="333">
        <f t="shared" si="27"/>
        <v>3</v>
      </c>
      <c r="Y53" s="333">
        <f t="shared" si="27"/>
        <v>3</v>
      </c>
      <c r="Z53" s="333">
        <f t="shared" si="27"/>
        <v>3</v>
      </c>
      <c r="AA53" s="333">
        <f t="shared" si="27"/>
        <v>3</v>
      </c>
      <c r="AB53" s="333">
        <f t="shared" si="27"/>
        <v>3</v>
      </c>
      <c r="AC53" s="47">
        <f t="shared" si="26"/>
        <v>1</v>
      </c>
      <c r="AD53" s="47">
        <v>2</v>
      </c>
      <c r="AE53" s="47">
        <v>2</v>
      </c>
      <c r="AF53" s="169"/>
      <c r="AG53" s="413"/>
      <c r="AH53" s="169"/>
      <c r="AI53" s="169"/>
      <c r="AJ53" s="169"/>
      <c r="AK53" s="169"/>
      <c r="AL53" s="169"/>
      <c r="AM53" s="169"/>
      <c r="AN53" s="169"/>
      <c r="AO53" s="169"/>
      <c r="AP53" s="169"/>
      <c r="AQ53" s="169"/>
      <c r="AR53" s="169"/>
      <c r="AS53" s="169"/>
      <c r="AT53" s="169"/>
      <c r="AU53" s="169"/>
      <c r="AV53" s="169"/>
    </row>
    <row r="54" spans="1:48" ht="12.75" x14ac:dyDescent="0.2">
      <c r="A54" s="211" t="str">
        <f>A80</f>
        <v>&gt; L1 Pilots</v>
      </c>
      <c r="B54" s="333">
        <f t="shared" ref="B54:AB54" si="28">ROUNDUP(IF(B$13="Deploy",MAX((B$69/100)*$B80,$B80),(B$69/100)*$B80),0)</f>
        <v>3</v>
      </c>
      <c r="C54" s="333">
        <f t="shared" si="28"/>
        <v>3</v>
      </c>
      <c r="D54" s="333">
        <f t="shared" si="28"/>
        <v>3</v>
      </c>
      <c r="E54" s="333">
        <f t="shared" si="28"/>
        <v>3</v>
      </c>
      <c r="F54" s="333">
        <f t="shared" si="28"/>
        <v>3</v>
      </c>
      <c r="G54" s="333">
        <f t="shared" si="28"/>
        <v>3</v>
      </c>
      <c r="H54" s="333">
        <f t="shared" si="28"/>
        <v>3</v>
      </c>
      <c r="I54" s="333">
        <f t="shared" si="28"/>
        <v>4</v>
      </c>
      <c r="J54" s="333">
        <f t="shared" si="28"/>
        <v>4</v>
      </c>
      <c r="K54" s="333">
        <f t="shared" si="28"/>
        <v>4</v>
      </c>
      <c r="L54" s="333">
        <f t="shared" si="28"/>
        <v>5</v>
      </c>
      <c r="M54" s="333">
        <f t="shared" si="28"/>
        <v>6</v>
      </c>
      <c r="N54" s="333">
        <f t="shared" si="28"/>
        <v>6</v>
      </c>
      <c r="O54" s="333">
        <f t="shared" si="28"/>
        <v>6</v>
      </c>
      <c r="P54" s="333">
        <f t="shared" si="28"/>
        <v>6</v>
      </c>
      <c r="Q54" s="333">
        <f t="shared" si="28"/>
        <v>6</v>
      </c>
      <c r="R54" s="333">
        <f t="shared" si="28"/>
        <v>6</v>
      </c>
      <c r="S54" s="333">
        <f t="shared" si="28"/>
        <v>6</v>
      </c>
      <c r="T54" s="333">
        <f t="shared" si="28"/>
        <v>6</v>
      </c>
      <c r="U54" s="333">
        <f t="shared" si="28"/>
        <v>6</v>
      </c>
      <c r="V54" s="333">
        <f t="shared" si="28"/>
        <v>6</v>
      </c>
      <c r="W54" s="333">
        <f t="shared" si="28"/>
        <v>6</v>
      </c>
      <c r="X54" s="333">
        <f t="shared" si="28"/>
        <v>6</v>
      </c>
      <c r="Y54" s="333">
        <f t="shared" si="28"/>
        <v>6</v>
      </c>
      <c r="Z54" s="333">
        <f t="shared" si="28"/>
        <v>6</v>
      </c>
      <c r="AA54" s="333">
        <f t="shared" si="28"/>
        <v>6</v>
      </c>
      <c r="AB54" s="333">
        <f t="shared" si="28"/>
        <v>5</v>
      </c>
      <c r="AC54" s="47">
        <f t="shared" si="26"/>
        <v>1</v>
      </c>
      <c r="AD54" s="201"/>
      <c r="AE54" s="201"/>
      <c r="AF54" s="169"/>
      <c r="AG54" s="413"/>
    </row>
    <row r="55" spans="1:48" ht="12.75" x14ac:dyDescent="0.2">
      <c r="A55" s="211" t="str">
        <f>A81</f>
        <v>&gt; L4 Aircrewman</v>
      </c>
      <c r="B55" s="333">
        <f t="shared" ref="B55:AB55" si="29">ROUNDUP(IF(B$13="Deploy",MAX((B$69/100)*$B81,$B81),(B$69/100)*$B81),0)</f>
        <v>2</v>
      </c>
      <c r="C55" s="333">
        <f t="shared" si="29"/>
        <v>2</v>
      </c>
      <c r="D55" s="333">
        <f t="shared" si="29"/>
        <v>2</v>
      </c>
      <c r="E55" s="333">
        <f t="shared" si="29"/>
        <v>2</v>
      </c>
      <c r="F55" s="333">
        <f t="shared" si="29"/>
        <v>2</v>
      </c>
      <c r="G55" s="333">
        <f t="shared" si="29"/>
        <v>2</v>
      </c>
      <c r="H55" s="333">
        <f t="shared" si="29"/>
        <v>2</v>
      </c>
      <c r="I55" s="333">
        <f t="shared" si="29"/>
        <v>2</v>
      </c>
      <c r="J55" s="333">
        <f t="shared" si="29"/>
        <v>2</v>
      </c>
      <c r="K55" s="333">
        <f t="shared" si="29"/>
        <v>2</v>
      </c>
      <c r="L55" s="333">
        <f t="shared" si="29"/>
        <v>3</v>
      </c>
      <c r="M55" s="333">
        <f t="shared" si="29"/>
        <v>3</v>
      </c>
      <c r="N55" s="333">
        <f t="shared" si="29"/>
        <v>3</v>
      </c>
      <c r="O55" s="333">
        <f t="shared" si="29"/>
        <v>3</v>
      </c>
      <c r="P55" s="333">
        <f t="shared" si="29"/>
        <v>3</v>
      </c>
      <c r="Q55" s="333">
        <f t="shared" si="29"/>
        <v>3</v>
      </c>
      <c r="R55" s="333">
        <f t="shared" si="29"/>
        <v>3</v>
      </c>
      <c r="S55" s="333">
        <f t="shared" si="29"/>
        <v>3</v>
      </c>
      <c r="T55" s="333">
        <f t="shared" si="29"/>
        <v>3</v>
      </c>
      <c r="U55" s="333">
        <f t="shared" si="29"/>
        <v>3</v>
      </c>
      <c r="V55" s="333">
        <f t="shared" si="29"/>
        <v>3</v>
      </c>
      <c r="W55" s="333">
        <f t="shared" si="29"/>
        <v>3</v>
      </c>
      <c r="X55" s="333">
        <f t="shared" si="29"/>
        <v>3</v>
      </c>
      <c r="Y55" s="333">
        <f t="shared" si="29"/>
        <v>3</v>
      </c>
      <c r="Z55" s="333">
        <f t="shared" si="29"/>
        <v>3</v>
      </c>
      <c r="AA55" s="333">
        <f t="shared" si="29"/>
        <v>3</v>
      </c>
      <c r="AB55" s="333">
        <f t="shared" si="29"/>
        <v>3</v>
      </c>
      <c r="AC55" s="47">
        <f t="shared" si="26"/>
        <v>1</v>
      </c>
      <c r="AD55" s="201"/>
      <c r="AE55" s="201"/>
      <c r="AF55" s="169"/>
      <c r="AG55" s="413"/>
    </row>
    <row r="56" spans="1:48" ht="12.75" x14ac:dyDescent="0.2">
      <c r="A56" s="211" t="str">
        <f>A82</f>
        <v>&gt; L3 Aircrewman</v>
      </c>
      <c r="B56" s="333">
        <f t="shared" ref="B56:AB56" si="30">ROUND(IF(B$13="Deploy",MAX((B$69/100)*$B82,$B82),(B$69/100)*$B82),0)</f>
        <v>2</v>
      </c>
      <c r="C56" s="333">
        <f t="shared" si="30"/>
        <v>2</v>
      </c>
      <c r="D56" s="333">
        <f t="shared" si="30"/>
        <v>2</v>
      </c>
      <c r="E56" s="333">
        <f t="shared" si="30"/>
        <v>2</v>
      </c>
      <c r="F56" s="333">
        <f t="shared" si="30"/>
        <v>2</v>
      </c>
      <c r="G56" s="333">
        <f t="shared" si="30"/>
        <v>2</v>
      </c>
      <c r="H56" s="333">
        <f t="shared" si="30"/>
        <v>3</v>
      </c>
      <c r="I56" s="333">
        <f t="shared" si="30"/>
        <v>3</v>
      </c>
      <c r="J56" s="333">
        <f t="shared" si="30"/>
        <v>4</v>
      </c>
      <c r="K56" s="333">
        <f t="shared" si="30"/>
        <v>4</v>
      </c>
      <c r="L56" s="333">
        <f t="shared" si="30"/>
        <v>5</v>
      </c>
      <c r="M56" s="333">
        <f t="shared" si="30"/>
        <v>5</v>
      </c>
      <c r="N56" s="333">
        <f t="shared" si="30"/>
        <v>5</v>
      </c>
      <c r="O56" s="333">
        <f t="shared" si="30"/>
        <v>5</v>
      </c>
      <c r="P56" s="333">
        <f t="shared" si="30"/>
        <v>5</v>
      </c>
      <c r="Q56" s="333">
        <f t="shared" si="30"/>
        <v>5</v>
      </c>
      <c r="R56" s="333">
        <f t="shared" si="30"/>
        <v>6</v>
      </c>
      <c r="S56" s="333">
        <f t="shared" si="30"/>
        <v>6</v>
      </c>
      <c r="T56" s="333">
        <f t="shared" si="30"/>
        <v>6</v>
      </c>
      <c r="U56" s="333">
        <f t="shared" si="30"/>
        <v>6</v>
      </c>
      <c r="V56" s="333">
        <f t="shared" si="30"/>
        <v>6</v>
      </c>
      <c r="W56" s="333">
        <f t="shared" si="30"/>
        <v>6</v>
      </c>
      <c r="X56" s="333">
        <f t="shared" si="30"/>
        <v>6</v>
      </c>
      <c r="Y56" s="333">
        <f t="shared" si="30"/>
        <v>5</v>
      </c>
      <c r="Z56" s="333">
        <f t="shared" si="30"/>
        <v>5</v>
      </c>
      <c r="AA56" s="333">
        <f t="shared" si="30"/>
        <v>5</v>
      </c>
      <c r="AB56" s="333">
        <f t="shared" si="30"/>
        <v>5</v>
      </c>
      <c r="AC56" s="47">
        <f t="shared" si="26"/>
        <v>1</v>
      </c>
      <c r="AD56" s="47">
        <v>3</v>
      </c>
      <c r="AE56" s="47">
        <v>3</v>
      </c>
      <c r="AF56" s="169"/>
      <c r="AG56" s="413"/>
    </row>
    <row r="57" spans="1:48" ht="12.75" x14ac:dyDescent="0.2">
      <c r="A57" s="211" t="str">
        <f>A83</f>
        <v># Skilled Crews</v>
      </c>
      <c r="B57" s="333">
        <f t="shared" ref="B57:AB57" si="31">ROUND(IF(B$13="Deploy",MAX((B$69/100)*$B83,$B83),(B$69/100)*$B83),0)</f>
        <v>1</v>
      </c>
      <c r="C57" s="333">
        <f t="shared" si="31"/>
        <v>1</v>
      </c>
      <c r="D57" s="333">
        <f t="shared" si="31"/>
        <v>1</v>
      </c>
      <c r="E57" s="333">
        <f t="shared" si="31"/>
        <v>1</v>
      </c>
      <c r="F57" s="333">
        <f t="shared" si="31"/>
        <v>1</v>
      </c>
      <c r="G57" s="333">
        <f t="shared" si="31"/>
        <v>1</v>
      </c>
      <c r="H57" s="333">
        <f t="shared" si="31"/>
        <v>1</v>
      </c>
      <c r="I57" s="333">
        <f t="shared" si="31"/>
        <v>2</v>
      </c>
      <c r="J57" s="333">
        <f t="shared" si="31"/>
        <v>2</v>
      </c>
      <c r="K57" s="333">
        <f t="shared" si="31"/>
        <v>2</v>
      </c>
      <c r="L57" s="333">
        <f t="shared" si="31"/>
        <v>2</v>
      </c>
      <c r="M57" s="333">
        <f t="shared" si="31"/>
        <v>3</v>
      </c>
      <c r="N57" s="333">
        <f t="shared" si="31"/>
        <v>3</v>
      </c>
      <c r="O57" s="333">
        <f t="shared" si="31"/>
        <v>3</v>
      </c>
      <c r="P57" s="333">
        <f t="shared" si="31"/>
        <v>3</v>
      </c>
      <c r="Q57" s="333">
        <f t="shared" si="31"/>
        <v>3</v>
      </c>
      <c r="R57" s="333">
        <f t="shared" si="31"/>
        <v>3</v>
      </c>
      <c r="S57" s="333">
        <f t="shared" si="31"/>
        <v>3</v>
      </c>
      <c r="T57" s="333">
        <f t="shared" si="31"/>
        <v>3</v>
      </c>
      <c r="U57" s="333">
        <f t="shared" si="31"/>
        <v>3</v>
      </c>
      <c r="V57" s="333">
        <f t="shared" si="31"/>
        <v>3</v>
      </c>
      <c r="W57" s="333">
        <f t="shared" si="31"/>
        <v>3</v>
      </c>
      <c r="X57" s="333">
        <f t="shared" si="31"/>
        <v>3</v>
      </c>
      <c r="Y57" s="333">
        <f t="shared" si="31"/>
        <v>3</v>
      </c>
      <c r="Z57" s="333">
        <f t="shared" si="31"/>
        <v>3</v>
      </c>
      <c r="AA57" s="333">
        <f t="shared" si="31"/>
        <v>3</v>
      </c>
      <c r="AB57" s="333">
        <f t="shared" si="31"/>
        <v>2</v>
      </c>
      <c r="AC57" s="47">
        <f t="shared" si="26"/>
        <v>1</v>
      </c>
      <c r="AD57" s="201"/>
      <c r="AE57" s="201"/>
      <c r="AF57" s="169"/>
      <c r="AG57" s="459"/>
    </row>
    <row r="58" spans="1:48" x14ac:dyDescent="0.2">
      <c r="O58" s="199"/>
      <c r="P58" s="199"/>
      <c r="Q58" s="199"/>
    </row>
    <row r="59" spans="1:48" x14ac:dyDescent="0.2">
      <c r="A59" s="503" t="s">
        <v>146</v>
      </c>
      <c r="B59" s="209"/>
      <c r="O59" s="199"/>
      <c r="P59" s="199"/>
      <c r="Q59" s="199"/>
    </row>
    <row r="60" spans="1:48" s="4" customFormat="1" ht="12.75" x14ac:dyDescent="0.2">
      <c r="A60" s="502" t="s">
        <v>147</v>
      </c>
      <c r="B60" s="12"/>
      <c r="C60" s="206"/>
      <c r="D60" s="210"/>
      <c r="E60" s="210"/>
      <c r="F60" s="210"/>
      <c r="G60" s="206"/>
      <c r="H60" s="206"/>
      <c r="I60" s="206"/>
      <c r="J60" s="206"/>
      <c r="K60" s="206"/>
      <c r="L60" s="206"/>
      <c r="M60" s="206"/>
      <c r="N60" s="206"/>
      <c r="O60" s="199"/>
      <c r="P60" s="199"/>
      <c r="Q60" s="199"/>
      <c r="R60" s="206"/>
      <c r="S60" s="206"/>
      <c r="T60" s="206"/>
      <c r="U60" s="206"/>
      <c r="V60" s="206"/>
      <c r="W60" s="206"/>
      <c r="X60" s="206"/>
      <c r="Y60" s="206"/>
      <c r="Z60" s="206"/>
      <c r="AA60" s="206"/>
      <c r="AB60" s="206"/>
      <c r="AC60" s="206"/>
      <c r="AD60" s="206"/>
      <c r="AE60" s="206"/>
      <c r="AF60" s="206"/>
    </row>
    <row r="61" spans="1:48" s="4" customFormat="1" ht="12.75" x14ac:dyDescent="0.2">
      <c r="A61" s="504" t="s">
        <v>148</v>
      </c>
      <c r="B61" s="12"/>
      <c r="C61" s="206"/>
      <c r="D61" s="210"/>
      <c r="E61" s="210"/>
      <c r="F61" s="210"/>
      <c r="G61" s="206"/>
      <c r="H61" s="206"/>
      <c r="I61" s="206"/>
      <c r="J61" s="206"/>
      <c r="K61" s="206"/>
      <c r="L61" s="206"/>
      <c r="M61" s="206"/>
      <c r="N61" s="206"/>
      <c r="O61" s="199"/>
      <c r="P61" s="199"/>
      <c r="Q61" s="199"/>
      <c r="R61" s="206"/>
      <c r="S61" s="206"/>
      <c r="T61" s="206"/>
      <c r="U61" s="206"/>
      <c r="V61" s="206"/>
      <c r="W61" s="206"/>
      <c r="X61" s="206"/>
      <c r="Y61" s="206"/>
      <c r="Z61" s="206"/>
      <c r="AA61" s="206"/>
      <c r="AB61" s="206"/>
      <c r="AC61" s="206"/>
      <c r="AD61" s="206"/>
      <c r="AE61" s="206"/>
      <c r="AF61" s="206"/>
    </row>
    <row r="62" spans="1:48" s="4" customFormat="1" ht="12.75" thickBot="1" x14ac:dyDescent="0.2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row>
    <row r="63" spans="1:48" s="4" customFormat="1" ht="13.5" thickBot="1" x14ac:dyDescent="0.25">
      <c r="A63" s="554" t="s">
        <v>149</v>
      </c>
      <c r="B63" s="555"/>
      <c r="C63" s="555"/>
      <c r="D63" s="555"/>
      <c r="E63" s="555"/>
      <c r="F63" s="555"/>
      <c r="G63" s="555"/>
      <c r="H63" s="555"/>
      <c r="I63" s="555"/>
      <c r="J63" s="555"/>
      <c r="K63" s="555"/>
      <c r="L63" s="555"/>
      <c r="M63" s="555"/>
      <c r="N63" s="555"/>
      <c r="O63" s="555"/>
      <c r="P63" s="555"/>
      <c r="Q63" s="555"/>
      <c r="R63" s="555"/>
      <c r="S63" s="555"/>
      <c r="T63" s="555"/>
      <c r="U63" s="555"/>
      <c r="V63" s="555"/>
      <c r="W63" s="555"/>
      <c r="X63" s="555"/>
      <c r="Y63" s="555"/>
      <c r="Z63" s="555"/>
      <c r="AA63" s="555"/>
      <c r="AB63" s="555"/>
      <c r="AC63" s="556"/>
      <c r="AD63" s="5"/>
      <c r="AE63" s="301"/>
      <c r="AF63" s="206"/>
    </row>
    <row r="64" spans="1:48" s="4" customFormat="1" x14ac:dyDescent="0.2">
      <c r="A64" s="313" t="s">
        <v>150</v>
      </c>
      <c r="B64" s="314">
        <f t="shared" ref="B64:AC64" si="32">MIN(100,B66+$B$70)</f>
        <v>45.303509080419353</v>
      </c>
      <c r="C64" s="314">
        <f t="shared" si="32"/>
        <v>45.303509080419353</v>
      </c>
      <c r="D64" s="314">
        <f t="shared" si="32"/>
        <v>45.303509080419353</v>
      </c>
      <c r="E64" s="314">
        <f t="shared" si="32"/>
        <v>45.303509080419353</v>
      </c>
      <c r="F64" s="314">
        <f t="shared" si="32"/>
        <v>45.303509080419353</v>
      </c>
      <c r="G64" s="314">
        <f t="shared" si="32"/>
        <v>53.303509080419353</v>
      </c>
      <c r="H64" s="314">
        <f t="shared" si="32"/>
        <v>55.303509080419353</v>
      </c>
      <c r="I64" s="314">
        <f t="shared" si="32"/>
        <v>55.303509080419353</v>
      </c>
      <c r="J64" s="314">
        <f t="shared" si="32"/>
        <v>65.30350908041936</v>
      </c>
      <c r="K64" s="314">
        <f t="shared" si="32"/>
        <v>90.30350908041936</v>
      </c>
      <c r="L64" s="314">
        <f t="shared" si="32"/>
        <v>100</v>
      </c>
      <c r="M64" s="314">
        <f t="shared" si="32"/>
        <v>100</v>
      </c>
      <c r="N64" s="314">
        <f t="shared" si="32"/>
        <v>100</v>
      </c>
      <c r="O64" s="314">
        <f t="shared" si="32"/>
        <v>100</v>
      </c>
      <c r="P64" s="314">
        <f t="shared" si="32"/>
        <v>100</v>
      </c>
      <c r="Q64" s="314">
        <f t="shared" si="32"/>
        <v>100</v>
      </c>
      <c r="R64" s="314">
        <f t="shared" si="32"/>
        <v>100</v>
      </c>
      <c r="S64" s="314">
        <f t="shared" si="32"/>
        <v>100</v>
      </c>
      <c r="T64" s="314">
        <f t="shared" si="32"/>
        <v>100</v>
      </c>
      <c r="U64" s="314">
        <f t="shared" si="32"/>
        <v>100</v>
      </c>
      <c r="V64" s="314">
        <f t="shared" si="32"/>
        <v>100</v>
      </c>
      <c r="W64" s="314">
        <f t="shared" si="32"/>
        <v>100</v>
      </c>
      <c r="X64" s="314">
        <f t="shared" si="32"/>
        <v>100</v>
      </c>
      <c r="Y64" s="314">
        <f t="shared" si="32"/>
        <v>100</v>
      </c>
      <c r="Z64" s="314">
        <f t="shared" si="32"/>
        <v>100</v>
      </c>
      <c r="AA64" s="314">
        <f t="shared" si="32"/>
        <v>100</v>
      </c>
      <c r="AB64" s="315">
        <f t="shared" si="32"/>
        <v>95.30350908041936</v>
      </c>
      <c r="AC64" s="316">
        <f t="shared" si="32"/>
        <v>45.303509080419353</v>
      </c>
      <c r="AD64" s="5"/>
      <c r="AE64" s="301"/>
    </row>
    <row r="65" spans="1:31" s="4" customFormat="1" x14ac:dyDescent="0.2">
      <c r="A65" s="317" t="s">
        <v>151</v>
      </c>
      <c r="B65" s="318">
        <f t="shared" ref="B65:AC65" si="33">MIN(100,B66+$B$71)</f>
        <v>27.651754540209676</v>
      </c>
      <c r="C65" s="318">
        <f t="shared" si="33"/>
        <v>27.651754540209676</v>
      </c>
      <c r="D65" s="318">
        <f t="shared" si="33"/>
        <v>27.651754540209676</v>
      </c>
      <c r="E65" s="318">
        <f t="shared" si="33"/>
        <v>27.651754540209676</v>
      </c>
      <c r="F65" s="318">
        <f t="shared" si="33"/>
        <v>27.651754540209676</v>
      </c>
      <c r="G65" s="318">
        <f t="shared" si="33"/>
        <v>35.65175454020968</v>
      </c>
      <c r="H65" s="318">
        <f t="shared" si="33"/>
        <v>37.65175454020968</v>
      </c>
      <c r="I65" s="318">
        <f t="shared" si="33"/>
        <v>37.65175454020968</v>
      </c>
      <c r="J65" s="318">
        <f t="shared" si="33"/>
        <v>47.65175454020968</v>
      </c>
      <c r="K65" s="318">
        <f t="shared" si="33"/>
        <v>72.65175454020968</v>
      </c>
      <c r="L65" s="318">
        <f t="shared" si="33"/>
        <v>97.65175454020968</v>
      </c>
      <c r="M65" s="318">
        <f t="shared" si="33"/>
        <v>100</v>
      </c>
      <c r="N65" s="318">
        <f t="shared" si="33"/>
        <v>100</v>
      </c>
      <c r="O65" s="318">
        <f t="shared" si="33"/>
        <v>100</v>
      </c>
      <c r="P65" s="318">
        <f t="shared" si="33"/>
        <v>100</v>
      </c>
      <c r="Q65" s="318">
        <f t="shared" si="33"/>
        <v>100</v>
      </c>
      <c r="R65" s="318">
        <f t="shared" si="33"/>
        <v>100</v>
      </c>
      <c r="S65" s="318">
        <f t="shared" si="33"/>
        <v>100</v>
      </c>
      <c r="T65" s="318">
        <f t="shared" si="33"/>
        <v>100</v>
      </c>
      <c r="U65" s="318">
        <f t="shared" si="33"/>
        <v>100</v>
      </c>
      <c r="V65" s="318">
        <f t="shared" si="33"/>
        <v>100</v>
      </c>
      <c r="W65" s="318">
        <f t="shared" si="33"/>
        <v>100</v>
      </c>
      <c r="X65" s="318">
        <f t="shared" si="33"/>
        <v>100</v>
      </c>
      <c r="Y65" s="318">
        <f t="shared" si="33"/>
        <v>100</v>
      </c>
      <c r="Z65" s="318">
        <f t="shared" si="33"/>
        <v>100</v>
      </c>
      <c r="AA65" s="318">
        <f t="shared" si="33"/>
        <v>96.65175454020968</v>
      </c>
      <c r="AB65" s="319">
        <f t="shared" si="33"/>
        <v>77.65175454020968</v>
      </c>
      <c r="AC65" s="320">
        <f t="shared" si="33"/>
        <v>27.651754540209676</v>
      </c>
      <c r="AD65" s="5"/>
      <c r="AE65" s="301"/>
    </row>
    <row r="66" spans="1:31" s="4" customFormat="1" x14ac:dyDescent="0.2">
      <c r="A66" s="254" t="s">
        <v>152</v>
      </c>
      <c r="B66" s="310">
        <v>10</v>
      </c>
      <c r="C66" s="310">
        <v>10</v>
      </c>
      <c r="D66" s="310">
        <v>10</v>
      </c>
      <c r="E66" s="310">
        <v>10</v>
      </c>
      <c r="F66" s="310">
        <v>10</v>
      </c>
      <c r="G66" s="310">
        <v>18</v>
      </c>
      <c r="H66" s="310">
        <v>20</v>
      </c>
      <c r="I66" s="310">
        <v>20</v>
      </c>
      <c r="J66" s="310">
        <v>30</v>
      </c>
      <c r="K66" s="310">
        <v>55</v>
      </c>
      <c r="L66" s="310">
        <v>80</v>
      </c>
      <c r="M66" s="310">
        <v>85</v>
      </c>
      <c r="N66" s="310">
        <v>85</v>
      </c>
      <c r="O66" s="310">
        <v>85</v>
      </c>
      <c r="P66" s="310">
        <v>85</v>
      </c>
      <c r="Q66" s="310">
        <v>85</v>
      </c>
      <c r="R66" s="310">
        <v>100</v>
      </c>
      <c r="S66" s="310">
        <v>100</v>
      </c>
      <c r="T66" s="310">
        <v>100</v>
      </c>
      <c r="U66" s="310">
        <v>100</v>
      </c>
      <c r="V66" s="310">
        <v>100</v>
      </c>
      <c r="W66" s="310">
        <v>100</v>
      </c>
      <c r="X66" s="310">
        <v>89</v>
      </c>
      <c r="Y66" s="310">
        <v>84</v>
      </c>
      <c r="Z66" s="310">
        <v>83.666666666666671</v>
      </c>
      <c r="AA66" s="310">
        <v>79</v>
      </c>
      <c r="AB66" s="311">
        <v>60</v>
      </c>
      <c r="AC66" s="150">
        <v>10</v>
      </c>
      <c r="AD66" s="5"/>
      <c r="AE66" s="301"/>
    </row>
    <row r="67" spans="1:31" s="4" customFormat="1" x14ac:dyDescent="0.2">
      <c r="A67" s="317" t="s">
        <v>153</v>
      </c>
      <c r="B67" s="318">
        <f t="shared" ref="B67:AB67" si="34">MIN(80,IF(B13="Deploy",80,MAX(0,B66-$B$71)))</f>
        <v>0</v>
      </c>
      <c r="C67" s="318">
        <f t="shared" si="34"/>
        <v>0</v>
      </c>
      <c r="D67" s="318">
        <f t="shared" si="34"/>
        <v>0</v>
      </c>
      <c r="E67" s="318">
        <f t="shared" si="34"/>
        <v>0</v>
      </c>
      <c r="F67" s="318">
        <f t="shared" si="34"/>
        <v>0</v>
      </c>
      <c r="G67" s="318">
        <f t="shared" si="34"/>
        <v>0.34824545979032351</v>
      </c>
      <c r="H67" s="318">
        <f t="shared" si="34"/>
        <v>2.3482454597903235</v>
      </c>
      <c r="I67" s="318">
        <f t="shared" si="34"/>
        <v>2.3482454597903235</v>
      </c>
      <c r="J67" s="318">
        <f t="shared" si="34"/>
        <v>12.348245459790324</v>
      </c>
      <c r="K67" s="318">
        <f t="shared" si="34"/>
        <v>37.34824545979032</v>
      </c>
      <c r="L67" s="318">
        <f t="shared" si="34"/>
        <v>62.34824545979032</v>
      </c>
      <c r="M67" s="318">
        <f t="shared" si="34"/>
        <v>67.34824545979032</v>
      </c>
      <c r="N67" s="318">
        <f t="shared" si="34"/>
        <v>67.34824545979032</v>
      </c>
      <c r="O67" s="318">
        <f t="shared" si="34"/>
        <v>67.34824545979032</v>
      </c>
      <c r="P67" s="318">
        <f t="shared" si="34"/>
        <v>67.34824545979032</v>
      </c>
      <c r="Q67" s="318">
        <f t="shared" si="34"/>
        <v>67.34824545979032</v>
      </c>
      <c r="R67" s="318">
        <f t="shared" si="34"/>
        <v>80</v>
      </c>
      <c r="S67" s="318">
        <f t="shared" si="34"/>
        <v>80</v>
      </c>
      <c r="T67" s="318">
        <f t="shared" si="34"/>
        <v>80</v>
      </c>
      <c r="U67" s="318">
        <f t="shared" si="34"/>
        <v>80</v>
      </c>
      <c r="V67" s="318">
        <f t="shared" si="34"/>
        <v>80</v>
      </c>
      <c r="W67" s="318">
        <f t="shared" si="34"/>
        <v>80</v>
      </c>
      <c r="X67" s="318">
        <f t="shared" si="34"/>
        <v>71.34824545979032</v>
      </c>
      <c r="Y67" s="318">
        <f t="shared" si="34"/>
        <v>66.34824545979032</v>
      </c>
      <c r="Z67" s="318">
        <f t="shared" si="34"/>
        <v>66.014912126456991</v>
      </c>
      <c r="AA67" s="318">
        <f t="shared" si="34"/>
        <v>61.34824545979032</v>
      </c>
      <c r="AB67" s="319">
        <f t="shared" si="34"/>
        <v>42.34824545979032</v>
      </c>
      <c r="AC67" s="320">
        <f>MIN(80,IF(AC5="Deploy",80,MAX(0,AC66-$B$71)))</f>
        <v>0</v>
      </c>
      <c r="AD67" s="5"/>
      <c r="AE67" s="301"/>
    </row>
    <row r="68" spans="1:31" s="4" customFormat="1" ht="12.75" thickBot="1" x14ac:dyDescent="0.25">
      <c r="A68" s="321" t="s">
        <v>154</v>
      </c>
      <c r="B68" s="322">
        <f t="shared" ref="B68:AB68" si="35">MIN(60,IF(B13="Deploy",60,MAX(0,B66-$B$70)))</f>
        <v>0</v>
      </c>
      <c r="C68" s="323">
        <f t="shared" si="35"/>
        <v>0</v>
      </c>
      <c r="D68" s="323">
        <f t="shared" si="35"/>
        <v>0</v>
      </c>
      <c r="E68" s="323">
        <f t="shared" si="35"/>
        <v>0</v>
      </c>
      <c r="F68" s="323">
        <f t="shared" si="35"/>
        <v>0</v>
      </c>
      <c r="G68" s="323">
        <f t="shared" si="35"/>
        <v>0</v>
      </c>
      <c r="H68" s="323">
        <f t="shared" si="35"/>
        <v>0</v>
      </c>
      <c r="I68" s="323">
        <f t="shared" si="35"/>
        <v>0</v>
      </c>
      <c r="J68" s="323">
        <f t="shared" si="35"/>
        <v>0</v>
      </c>
      <c r="K68" s="323">
        <f t="shared" si="35"/>
        <v>19.696490919580647</v>
      </c>
      <c r="L68" s="323">
        <f t="shared" si="35"/>
        <v>44.696490919580647</v>
      </c>
      <c r="M68" s="323">
        <f t="shared" si="35"/>
        <v>49.696490919580647</v>
      </c>
      <c r="N68" s="323">
        <f t="shared" si="35"/>
        <v>49.696490919580647</v>
      </c>
      <c r="O68" s="323">
        <f t="shared" si="35"/>
        <v>49.696490919580647</v>
      </c>
      <c r="P68" s="323">
        <f t="shared" si="35"/>
        <v>49.696490919580647</v>
      </c>
      <c r="Q68" s="323">
        <f t="shared" si="35"/>
        <v>49.696490919580647</v>
      </c>
      <c r="R68" s="323">
        <f t="shared" si="35"/>
        <v>60</v>
      </c>
      <c r="S68" s="323">
        <f t="shared" si="35"/>
        <v>60</v>
      </c>
      <c r="T68" s="323">
        <f t="shared" si="35"/>
        <v>60</v>
      </c>
      <c r="U68" s="323">
        <f t="shared" si="35"/>
        <v>60</v>
      </c>
      <c r="V68" s="323">
        <f t="shared" si="35"/>
        <v>60</v>
      </c>
      <c r="W68" s="323">
        <f t="shared" si="35"/>
        <v>60</v>
      </c>
      <c r="X68" s="323">
        <f t="shared" si="35"/>
        <v>53.696490919580647</v>
      </c>
      <c r="Y68" s="323">
        <f t="shared" si="35"/>
        <v>48.696490919580647</v>
      </c>
      <c r="Z68" s="323">
        <f t="shared" si="35"/>
        <v>48.363157586247318</v>
      </c>
      <c r="AA68" s="323">
        <f t="shared" si="35"/>
        <v>43.696490919580647</v>
      </c>
      <c r="AB68" s="324">
        <f t="shared" si="35"/>
        <v>24.696490919580647</v>
      </c>
      <c r="AC68" s="325">
        <f>MIN(60,IF(AC6="Deploy",60,MAX(0,AC66-$B$70)))</f>
        <v>0</v>
      </c>
      <c r="AD68" s="5"/>
      <c r="AE68" s="301"/>
    </row>
    <row r="69" spans="1:31" s="4" customFormat="1" ht="12.75" thickBot="1" x14ac:dyDescent="0.25">
      <c r="A69" s="326" t="s">
        <v>155</v>
      </c>
      <c r="B69" s="327">
        <v>37</v>
      </c>
      <c r="C69" s="327">
        <v>37</v>
      </c>
      <c r="D69" s="327">
        <v>37</v>
      </c>
      <c r="E69" s="327">
        <v>37</v>
      </c>
      <c r="F69" s="327">
        <v>37</v>
      </c>
      <c r="G69" s="327">
        <v>37</v>
      </c>
      <c r="H69" s="327">
        <v>46</v>
      </c>
      <c r="I69" s="327">
        <v>54</v>
      </c>
      <c r="J69" s="327">
        <v>61</v>
      </c>
      <c r="K69" s="327">
        <v>63</v>
      </c>
      <c r="L69" s="327">
        <v>75</v>
      </c>
      <c r="M69" s="327">
        <v>85</v>
      </c>
      <c r="N69" s="327">
        <v>85</v>
      </c>
      <c r="O69" s="327">
        <v>85</v>
      </c>
      <c r="P69" s="327">
        <v>85</v>
      </c>
      <c r="Q69" s="327">
        <v>85</v>
      </c>
      <c r="R69" s="327">
        <v>100</v>
      </c>
      <c r="S69" s="327">
        <v>100</v>
      </c>
      <c r="T69" s="327">
        <v>100</v>
      </c>
      <c r="U69" s="327">
        <v>100</v>
      </c>
      <c r="V69" s="327">
        <v>100</v>
      </c>
      <c r="W69" s="327">
        <v>100</v>
      </c>
      <c r="X69" s="327">
        <v>94</v>
      </c>
      <c r="Y69" s="327">
        <v>91</v>
      </c>
      <c r="Z69" s="327">
        <v>85</v>
      </c>
      <c r="AA69" s="327">
        <v>84</v>
      </c>
      <c r="AB69" s="328">
        <v>81</v>
      </c>
      <c r="AC69" s="329">
        <v>37</v>
      </c>
      <c r="AD69" s="5"/>
      <c r="AE69" s="301"/>
    </row>
    <row r="70" spans="1:31" s="4" customFormat="1" x14ac:dyDescent="0.2">
      <c r="A70" s="13" t="s">
        <v>156</v>
      </c>
      <c r="B70" s="14">
        <f t="array" ref="B70">SQRT(SUM(POWER(AVERAGE(B66:AB66)-(B66:AB66),2))/COUNT(B66:AB66))*1</f>
        <v>35.303509080419353</v>
      </c>
      <c r="AD70" s="5"/>
      <c r="AE70" s="301"/>
    </row>
    <row r="71" spans="1:31" s="4" customFormat="1" ht="12.75" thickBot="1" x14ac:dyDescent="0.25">
      <c r="A71" s="15" t="s">
        <v>157</v>
      </c>
      <c r="B71" s="16">
        <f>B70/2</f>
        <v>17.651754540209676</v>
      </c>
      <c r="AD71" s="5"/>
      <c r="AE71" s="301"/>
    </row>
    <row r="72" spans="1:31" s="4" customFormat="1" ht="12.75" thickBot="1" x14ac:dyDescent="0.25">
      <c r="AD72" s="5"/>
      <c r="AE72" s="301"/>
    </row>
    <row r="73" spans="1:31" s="4" customFormat="1" ht="13.5" thickBot="1" x14ac:dyDescent="0.25">
      <c r="A73" s="557" t="s">
        <v>158</v>
      </c>
      <c r="B73" s="558"/>
      <c r="AD73" s="5"/>
      <c r="AE73" s="301"/>
    </row>
    <row r="74" spans="1:31" s="4" customFormat="1" ht="12.75" thickBot="1" x14ac:dyDescent="0.25">
      <c r="A74" s="559" t="s">
        <v>159</v>
      </c>
      <c r="B74" s="560"/>
      <c r="AD74" s="5"/>
      <c r="AE74" s="301"/>
    </row>
    <row r="75" spans="1:31" s="4" customFormat="1" ht="12.75" thickTop="1" x14ac:dyDescent="0.2">
      <c r="A75" s="231" t="s">
        <v>142</v>
      </c>
      <c r="B75" s="232">
        <v>6</v>
      </c>
      <c r="AD75" s="5"/>
      <c r="AE75" s="301"/>
    </row>
    <row r="76" spans="1:31" s="4" customFormat="1" x14ac:dyDescent="0.2">
      <c r="A76" s="233" t="s">
        <v>143</v>
      </c>
      <c r="B76" s="234">
        <v>6</v>
      </c>
      <c r="AD76" s="5"/>
      <c r="AE76" s="301"/>
    </row>
    <row r="77" spans="1:31" s="4" customFormat="1" x14ac:dyDescent="0.2">
      <c r="A77" s="231" t="s">
        <v>144</v>
      </c>
      <c r="B77" s="232">
        <v>6</v>
      </c>
      <c r="AD77" s="5"/>
      <c r="AE77" s="301"/>
    </row>
    <row r="78" spans="1:31" s="4" customFormat="1" x14ac:dyDescent="0.2">
      <c r="A78" s="233" t="s">
        <v>145</v>
      </c>
      <c r="B78" s="234">
        <v>6</v>
      </c>
      <c r="AD78" s="5"/>
      <c r="AE78" s="301"/>
    </row>
    <row r="79" spans="1:31" s="4" customFormat="1" x14ac:dyDescent="0.2">
      <c r="A79" s="235" t="s">
        <v>160</v>
      </c>
      <c r="B79" s="236">
        <v>3</v>
      </c>
      <c r="AD79" s="6"/>
      <c r="AE79" s="301"/>
    </row>
    <row r="80" spans="1:31" s="4" customFormat="1" x14ac:dyDescent="0.2">
      <c r="A80" s="235" t="s">
        <v>161</v>
      </c>
      <c r="B80" s="236">
        <v>6</v>
      </c>
      <c r="AD80" s="7"/>
      <c r="AE80" s="301"/>
    </row>
    <row r="81" spans="1:32" s="4" customFormat="1" x14ac:dyDescent="0.2">
      <c r="A81" s="235" t="s">
        <v>162</v>
      </c>
      <c r="B81" s="236">
        <v>3</v>
      </c>
      <c r="AD81" s="5"/>
      <c r="AE81" s="301"/>
    </row>
    <row r="82" spans="1:32" s="4" customFormat="1" x14ac:dyDescent="0.2">
      <c r="A82" s="235" t="s">
        <v>163</v>
      </c>
      <c r="B82" s="236">
        <v>6</v>
      </c>
      <c r="AB82" s="8"/>
      <c r="AC82" s="8"/>
      <c r="AD82" s="302"/>
      <c r="AE82" s="301"/>
    </row>
    <row r="83" spans="1:32" s="4" customFormat="1" ht="12.75" thickBot="1" x14ac:dyDescent="0.25">
      <c r="A83" s="237" t="s">
        <v>164</v>
      </c>
      <c r="B83" s="238">
        <v>3</v>
      </c>
      <c r="AB83" s="8"/>
      <c r="AC83" s="8"/>
      <c r="AD83" s="2"/>
      <c r="AE83" s="303"/>
      <c r="AF83" s="3"/>
    </row>
    <row r="84" spans="1:32" s="4" customFormat="1" ht="12.75" thickBot="1" x14ac:dyDescent="0.25">
      <c r="AD84" s="5"/>
      <c r="AE84" s="301"/>
      <c r="AF84" s="3"/>
    </row>
    <row r="85" spans="1:32" s="4" customFormat="1" ht="13.5" thickBot="1" x14ac:dyDescent="0.25">
      <c r="A85" s="552" t="s">
        <v>165</v>
      </c>
      <c r="B85" s="553"/>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row>
    <row r="86" spans="1:32" s="4" customFormat="1" x14ac:dyDescent="0.2">
      <c r="A86" s="240" t="s">
        <v>166</v>
      </c>
      <c r="B86" s="241" t="s">
        <v>167</v>
      </c>
      <c r="C86" s="241" t="s">
        <v>167</v>
      </c>
      <c r="D86" s="241" t="s">
        <v>167</v>
      </c>
      <c r="E86" s="241"/>
      <c r="F86" s="241" t="s">
        <v>167</v>
      </c>
      <c r="G86" s="241" t="s">
        <v>167</v>
      </c>
      <c r="H86" s="241" t="s">
        <v>167</v>
      </c>
      <c r="I86" s="241" t="s">
        <v>167</v>
      </c>
      <c r="J86" s="241"/>
      <c r="K86" s="241"/>
      <c r="L86" s="241"/>
      <c r="M86" s="241"/>
      <c r="N86" s="241" t="s">
        <v>167</v>
      </c>
      <c r="O86" s="241" t="s">
        <v>167</v>
      </c>
      <c r="P86" s="241"/>
      <c r="Q86" s="241"/>
      <c r="R86" s="241"/>
      <c r="S86" s="241"/>
      <c r="T86" s="241"/>
      <c r="U86" s="241"/>
      <c r="V86" s="241"/>
      <c r="W86" s="241"/>
      <c r="X86" s="241"/>
      <c r="Y86" s="241" t="s">
        <v>167</v>
      </c>
      <c r="Z86" s="241" t="s">
        <v>167</v>
      </c>
      <c r="AA86" s="241" t="s">
        <v>167</v>
      </c>
      <c r="AB86" s="241" t="s">
        <v>167</v>
      </c>
      <c r="AC86" s="242" t="s">
        <v>167</v>
      </c>
      <c r="AD86" s="243"/>
      <c r="AE86" s="239"/>
      <c r="AF86" s="239"/>
    </row>
    <row r="87" spans="1:32" s="4" customFormat="1" ht="12.75" thickBot="1" x14ac:dyDescent="0.25">
      <c r="A87" s="244" t="s">
        <v>168</v>
      </c>
      <c r="B87" s="245"/>
      <c r="C87" s="245"/>
      <c r="D87" s="245"/>
      <c r="E87" s="245"/>
      <c r="F87" s="245"/>
      <c r="G87" s="245"/>
      <c r="H87" s="245"/>
      <c r="I87" s="245"/>
      <c r="J87" s="245"/>
      <c r="K87" s="245"/>
      <c r="L87" s="245"/>
      <c r="M87" s="245"/>
      <c r="N87" s="245"/>
      <c r="O87" s="245"/>
      <c r="P87" s="245"/>
      <c r="Q87" s="245"/>
      <c r="R87" s="245" t="s">
        <v>167</v>
      </c>
      <c r="S87" s="245" t="s">
        <v>167</v>
      </c>
      <c r="T87" s="245" t="s">
        <v>167</v>
      </c>
      <c r="U87" s="245" t="s">
        <v>167</v>
      </c>
      <c r="V87" s="245" t="s">
        <v>167</v>
      </c>
      <c r="W87" s="245" t="s">
        <v>167</v>
      </c>
      <c r="X87" s="245"/>
      <c r="Y87" s="245"/>
      <c r="Z87" s="245"/>
      <c r="AA87" s="245"/>
      <c r="AB87" s="245"/>
      <c r="AC87" s="246"/>
      <c r="AD87" s="243"/>
      <c r="AE87" s="239"/>
      <c r="AF87" s="239"/>
    </row>
    <row r="88" spans="1:32" s="4" customFormat="1" ht="13.5" thickBot="1" x14ac:dyDescent="0.25">
      <c r="A88" s="304"/>
      <c r="B88" s="545"/>
      <c r="C88" s="545"/>
      <c r="D88" s="546"/>
      <c r="E88" s="546"/>
      <c r="F88" s="546"/>
      <c r="G88" s="546"/>
      <c r="AD88" s="5"/>
      <c r="AE88" s="301"/>
      <c r="AF88" s="3"/>
    </row>
    <row r="89" spans="1:32" s="4" customFormat="1" ht="12.75" x14ac:dyDescent="0.2">
      <c r="A89" s="284" t="s">
        <v>169</v>
      </c>
      <c r="B89" s="547" t="s">
        <v>170</v>
      </c>
      <c r="C89" s="548"/>
      <c r="D89" s="549" t="s">
        <v>171</v>
      </c>
      <c r="E89" s="549"/>
      <c r="F89" s="550" t="s">
        <v>172</v>
      </c>
      <c r="G89" s="551"/>
      <c r="I89" s="164" t="s">
        <v>37</v>
      </c>
      <c r="AD89" s="5"/>
      <c r="AE89" s="301"/>
      <c r="AF89" s="3"/>
    </row>
    <row r="90" spans="1:32" s="4" customFormat="1" ht="12.75" x14ac:dyDescent="0.2">
      <c r="A90" s="285" t="s">
        <v>173</v>
      </c>
      <c r="B90" s="286"/>
      <c r="C90" s="286"/>
      <c r="D90" s="286"/>
      <c r="E90" s="286"/>
      <c r="F90" s="286"/>
      <c r="G90" s="287"/>
      <c r="I90" s="164" t="s">
        <v>174</v>
      </c>
      <c r="AD90" s="5"/>
      <c r="AE90" s="301"/>
      <c r="AF90" s="3"/>
    </row>
    <row r="91" spans="1:32" s="4" customFormat="1" x14ac:dyDescent="0.2">
      <c r="A91" s="288" t="s">
        <v>175</v>
      </c>
      <c r="B91" s="289">
        <v>2</v>
      </c>
      <c r="C91" s="289">
        <f>B91</f>
        <v>2</v>
      </c>
      <c r="D91" s="290">
        <f>C91-1</f>
        <v>1</v>
      </c>
      <c r="E91" s="290">
        <v>1</v>
      </c>
      <c r="F91" s="291">
        <f>E91-1</f>
        <v>0</v>
      </c>
      <c r="G91" s="292">
        <v>0</v>
      </c>
      <c r="AD91" s="5"/>
      <c r="AE91" s="301"/>
      <c r="AF91" s="3"/>
    </row>
    <row r="92" spans="1:32" s="4" customFormat="1" x14ac:dyDescent="0.2">
      <c r="A92" s="288" t="s">
        <v>176</v>
      </c>
      <c r="B92" s="289">
        <v>2</v>
      </c>
      <c r="C92" s="289">
        <v>2</v>
      </c>
      <c r="D92" s="290">
        <f>C92-1</f>
        <v>1</v>
      </c>
      <c r="E92" s="290">
        <v>1</v>
      </c>
      <c r="F92" s="291">
        <f>E92-1</f>
        <v>0</v>
      </c>
      <c r="G92" s="292">
        <v>0</v>
      </c>
      <c r="AD92" s="5"/>
      <c r="AE92" s="301"/>
      <c r="AF92" s="3"/>
    </row>
    <row r="93" spans="1:32" s="4" customFormat="1" x14ac:dyDescent="0.2">
      <c r="A93" s="285" t="s">
        <v>125</v>
      </c>
      <c r="B93" s="293"/>
      <c r="C93" s="294"/>
      <c r="D93" s="294"/>
      <c r="E93" s="294"/>
      <c r="F93" s="294"/>
      <c r="G93" s="295"/>
      <c r="AD93" s="5"/>
      <c r="AE93" s="301"/>
      <c r="AF93" s="3"/>
    </row>
    <row r="94" spans="1:32" s="4" customFormat="1" x14ac:dyDescent="0.2">
      <c r="A94" s="288" t="str">
        <f>A39</f>
        <v>Ready C-2A Full Spectrum Support Equipment (C)</v>
      </c>
      <c r="B94" s="305">
        <f>IF(SUM(B39:AB39)=0,"N/A",ROUNDUP(MAX($B$35:$AB$35),0))</f>
        <v>2</v>
      </c>
      <c r="C94" s="305"/>
      <c r="D94" s="305"/>
      <c r="E94" s="305"/>
      <c r="F94" s="305"/>
      <c r="G94" s="306"/>
      <c r="AD94" s="5"/>
      <c r="AE94" s="301"/>
      <c r="AF94" s="3"/>
    </row>
    <row r="95" spans="1:32" s="4" customFormat="1" x14ac:dyDescent="0.2">
      <c r="A95" s="288" t="str">
        <f t="shared" ref="A95:A99" si="36">A40</f>
        <v>Ready C-2A Adv Navigation Mission Systems (D)</v>
      </c>
      <c r="B95" s="289">
        <v>2</v>
      </c>
      <c r="C95" s="289">
        <v>2</v>
      </c>
      <c r="D95" s="290">
        <f>C95-1</f>
        <v>1</v>
      </c>
      <c r="E95" s="290">
        <v>1</v>
      </c>
      <c r="F95" s="291">
        <f>E95-1</f>
        <v>0</v>
      </c>
      <c r="G95" s="292">
        <v>0</v>
      </c>
      <c r="AD95" s="5"/>
      <c r="AE95" s="301"/>
      <c r="AF95" s="3"/>
    </row>
    <row r="96" spans="1:32" s="4" customFormat="1" x14ac:dyDescent="0.2">
      <c r="A96" s="288" t="str">
        <f t="shared" si="36"/>
        <v>Ready C-2A Adv Communication Systems (F)</v>
      </c>
      <c r="B96" s="289">
        <v>2</v>
      </c>
      <c r="C96" s="289">
        <v>2</v>
      </c>
      <c r="D96" s="290">
        <f>C96-1</f>
        <v>1</v>
      </c>
      <c r="E96" s="290">
        <v>1</v>
      </c>
      <c r="F96" s="291">
        <f>E96-1</f>
        <v>0</v>
      </c>
      <c r="G96" s="292">
        <v>0</v>
      </c>
      <c r="AD96" s="5"/>
      <c r="AE96" s="301"/>
      <c r="AF96" s="3"/>
    </row>
    <row r="97" spans="1:32" s="4" customFormat="1" x14ac:dyDescent="0.2">
      <c r="A97" s="288" t="str">
        <f t="shared" si="36"/>
        <v>Ready C-2A Basic Support Mission Systems (J)</v>
      </c>
      <c r="B97" s="289">
        <v>2</v>
      </c>
      <c r="C97" s="289">
        <v>2</v>
      </c>
      <c r="D97" s="290">
        <f>C97-1</f>
        <v>1</v>
      </c>
      <c r="E97" s="290">
        <v>1</v>
      </c>
      <c r="F97" s="291">
        <f>E97-1</f>
        <v>0</v>
      </c>
      <c r="G97" s="292">
        <v>0</v>
      </c>
      <c r="AD97" s="5"/>
      <c r="AE97" s="301"/>
      <c r="AF97" s="3"/>
    </row>
    <row r="98" spans="1:32" s="4" customFormat="1" x14ac:dyDescent="0.2">
      <c r="A98" s="288" t="str">
        <f t="shared" si="36"/>
        <v>Ready C-2A Shipboard Mission Systems (K)</v>
      </c>
      <c r="B98" s="289">
        <v>2</v>
      </c>
      <c r="C98" s="289">
        <v>2</v>
      </c>
      <c r="D98" s="290">
        <f>C98-1</f>
        <v>1</v>
      </c>
      <c r="E98" s="290">
        <v>1</v>
      </c>
      <c r="F98" s="291">
        <f>E98-1</f>
        <v>0</v>
      </c>
      <c r="G98" s="292">
        <v>0</v>
      </c>
      <c r="AD98" s="5"/>
      <c r="AE98" s="301"/>
      <c r="AF98" s="3"/>
    </row>
    <row r="99" spans="1:32" s="4" customFormat="1" x14ac:dyDescent="0.2">
      <c r="A99" s="288" t="str">
        <f t="shared" si="36"/>
        <v>Ready C-2A IMC Flight Mission Systems (L)</v>
      </c>
      <c r="B99" s="289">
        <v>2</v>
      </c>
      <c r="C99" s="289">
        <v>2</v>
      </c>
      <c r="D99" s="290">
        <f>C99-1</f>
        <v>1</v>
      </c>
      <c r="E99" s="290">
        <v>1</v>
      </c>
      <c r="F99" s="291">
        <f>E99-1</f>
        <v>0</v>
      </c>
      <c r="G99" s="292">
        <v>0</v>
      </c>
      <c r="AD99" s="5"/>
      <c r="AE99" s="301"/>
      <c r="AF99" s="3"/>
    </row>
    <row r="100" spans="1:32" s="4" customFormat="1" x14ac:dyDescent="0.2">
      <c r="A100" s="285" t="s">
        <v>136</v>
      </c>
      <c r="B100" s="293"/>
      <c r="C100" s="294"/>
      <c r="D100" s="294"/>
      <c r="E100" s="294"/>
      <c r="F100" s="294"/>
      <c r="G100" s="295"/>
      <c r="AD100" s="5"/>
      <c r="AE100" s="301"/>
      <c r="AF100" s="3"/>
    </row>
    <row r="101" spans="1:32" s="4" customFormat="1" x14ac:dyDescent="0.2">
      <c r="A101" s="288" t="str">
        <f>A46</f>
        <v>Assigned Extended Range Tanks</v>
      </c>
      <c r="B101" s="305" t="str">
        <f>IF(SUM(B46:AB46)=0,"N/A",ROUNDUP(MAX($B$35:$AB$35),0))</f>
        <v>N/A</v>
      </c>
      <c r="C101" s="305"/>
      <c r="D101" s="305"/>
      <c r="E101" s="305"/>
      <c r="F101" s="305"/>
      <c r="G101" s="306"/>
      <c r="AD101" s="5"/>
      <c r="AE101" s="301"/>
      <c r="AF101" s="3"/>
    </row>
    <row r="102" spans="1:32" s="4" customFormat="1" ht="12.75" thickBot="1" x14ac:dyDescent="0.25">
      <c r="A102" s="296" t="str">
        <f>A47</f>
        <v>Ready Extended Range Tanks</v>
      </c>
      <c r="B102" s="307" t="str">
        <f>IF(SUM(B47:AB47)=0,"N/A",ROUNDUP(MAX($B$35:$AB$35),0))</f>
        <v>N/A</v>
      </c>
      <c r="C102" s="307"/>
      <c r="D102" s="307"/>
      <c r="E102" s="307"/>
      <c r="F102" s="307"/>
      <c r="G102" s="308"/>
      <c r="AD102" s="5"/>
      <c r="AE102" s="301"/>
      <c r="AF102" s="3"/>
    </row>
    <row r="103" spans="1:32" s="4" customFormat="1" x14ac:dyDescent="0.2">
      <c r="AD103" s="5"/>
      <c r="AE103" s="301"/>
      <c r="AF103" s="3"/>
    </row>
    <row r="104" spans="1:32" s="4" customFormat="1" x14ac:dyDescent="0.2">
      <c r="AD104" s="5"/>
      <c r="AE104" s="301"/>
      <c r="AF104" s="3"/>
    </row>
    <row r="105" spans="1:32" s="4" customFormat="1" x14ac:dyDescent="0.2">
      <c r="A105" s="505" t="s">
        <v>177</v>
      </c>
      <c r="B105" s="77" t="s">
        <v>178</v>
      </c>
      <c r="AD105" s="5"/>
      <c r="AE105" s="301"/>
      <c r="AF105" s="3"/>
    </row>
    <row r="106" spans="1:32" s="4" customFormat="1" x14ac:dyDescent="0.2">
      <c r="A106" s="516" t="s">
        <v>179</v>
      </c>
      <c r="B106" s="507">
        <f>HLOOKUP($B$105,'C-2A Mission System Summary'!$B$1:$F$12,2,FALSE)</f>
        <v>0.68016337232755131</v>
      </c>
      <c r="AD106" s="5"/>
      <c r="AE106" s="301"/>
      <c r="AF106" s="3"/>
    </row>
    <row r="107" spans="1:32" s="4" customFormat="1" x14ac:dyDescent="0.2">
      <c r="A107" s="506" t="str">
        <f t="shared" ref="A107:A112" si="37">A39</f>
        <v>Ready C-2A Full Spectrum Support Equipment (C)</v>
      </c>
      <c r="B107" s="507">
        <f>HLOOKUP($B$105,'C-2A Mission System Summary'!$B$1:$F$12,3,FALSE)</f>
        <v>0.1813735377168213</v>
      </c>
      <c r="AD107" s="5"/>
      <c r="AE107" s="301"/>
      <c r="AF107" s="3"/>
    </row>
    <row r="108" spans="1:32" s="4" customFormat="1" x14ac:dyDescent="0.2">
      <c r="A108" s="506" t="str">
        <f t="shared" si="37"/>
        <v>Ready C-2A Adv Navigation Mission Systems (D)</v>
      </c>
      <c r="B108" s="507">
        <f>HLOOKUP($B$105,'C-2A Mission System Summary'!$B$1:$F$12,4,FALSE)</f>
        <v>1</v>
      </c>
      <c r="AD108" s="5"/>
      <c r="AE108" s="301"/>
      <c r="AF108" s="3"/>
    </row>
    <row r="109" spans="1:32" s="4" customFormat="1" x14ac:dyDescent="0.2">
      <c r="A109" s="506" t="str">
        <f t="shared" si="37"/>
        <v>Ready C-2A Adv Communication Systems (F)</v>
      </c>
      <c r="B109" s="507">
        <f>HLOOKUP($B$105,'C-2A Mission System Summary'!$B$1:$F$12,5,FALSE)</f>
        <v>0.1813735377168213</v>
      </c>
      <c r="AD109" s="5"/>
      <c r="AE109" s="301"/>
      <c r="AF109" s="3"/>
    </row>
    <row r="110" spans="1:32" s="4" customFormat="1" x14ac:dyDescent="0.2">
      <c r="A110" s="506" t="str">
        <f t="shared" si="37"/>
        <v>Ready C-2A Basic Support Mission Systems (J)</v>
      </c>
      <c r="B110" s="507">
        <f>HLOOKUP($B$105,'C-2A Mission System Summary'!$B$1:$F$12,6,FALSE)</f>
        <v>1</v>
      </c>
      <c r="AD110" s="5"/>
      <c r="AE110" s="301"/>
      <c r="AF110" s="3"/>
    </row>
    <row r="111" spans="1:32" s="4" customFormat="1" x14ac:dyDescent="0.2">
      <c r="A111" s="506" t="str">
        <f t="shared" si="37"/>
        <v>Ready C-2A Shipboard Mission Systems (K)</v>
      </c>
      <c r="B111" s="507">
        <f>HLOOKUP($B$105,'C-2A Mission System Summary'!$B$1:$F$12,7,FALSE)</f>
        <v>0.85911657926583296</v>
      </c>
      <c r="AD111" s="5"/>
      <c r="AE111" s="301"/>
      <c r="AF111" s="3"/>
    </row>
    <row r="112" spans="1:32" s="4" customFormat="1" x14ac:dyDescent="0.2">
      <c r="A112" s="506" t="str">
        <f t="shared" si="37"/>
        <v>Ready C-2A IMC Flight Mission Systems (L)</v>
      </c>
      <c r="B112" s="507">
        <f>HLOOKUP($B$105,'C-2A Mission System Summary'!$B$1:$F$12,8,FALSE)</f>
        <v>1</v>
      </c>
      <c r="AD112" s="5"/>
      <c r="AE112" s="301"/>
      <c r="AF112" s="3"/>
    </row>
    <row r="113" spans="30:32" s="4" customFormat="1" x14ac:dyDescent="0.2">
      <c r="AD113" s="5"/>
      <c r="AE113" s="301"/>
      <c r="AF113" s="3"/>
    </row>
    <row r="114" spans="30:32" s="4" customFormat="1" x14ac:dyDescent="0.2">
      <c r="AD114" s="5"/>
      <c r="AE114" s="301"/>
      <c r="AF114" s="3"/>
    </row>
    <row r="115" spans="30:32" s="4" customFormat="1" x14ac:dyDescent="0.2">
      <c r="AD115" s="5"/>
      <c r="AE115" s="301"/>
      <c r="AF115" s="3"/>
    </row>
    <row r="116" spans="30:32" s="4" customFormat="1" x14ac:dyDescent="0.2">
      <c r="AD116" s="5"/>
      <c r="AE116" s="301"/>
      <c r="AF116" s="3"/>
    </row>
    <row r="117" spans="30:32" s="4" customFormat="1" x14ac:dyDescent="0.2">
      <c r="AD117" s="5"/>
      <c r="AE117" s="301"/>
      <c r="AF117" s="3"/>
    </row>
    <row r="118" spans="30:32" s="4" customFormat="1" x14ac:dyDescent="0.2">
      <c r="AD118" s="5"/>
      <c r="AE118" s="301"/>
      <c r="AF118" s="3"/>
    </row>
    <row r="119" spans="30:32" s="4" customFormat="1" x14ac:dyDescent="0.2">
      <c r="AD119" s="5"/>
      <c r="AE119" s="301"/>
      <c r="AF119" s="3"/>
    </row>
    <row r="120" spans="30:32" s="4" customFormat="1" x14ac:dyDescent="0.2">
      <c r="AD120" s="5"/>
      <c r="AE120" s="301"/>
      <c r="AF120" s="3"/>
    </row>
    <row r="121" spans="30:32" s="4" customFormat="1" x14ac:dyDescent="0.2">
      <c r="AD121" s="5"/>
      <c r="AE121" s="301"/>
      <c r="AF121" s="3"/>
    </row>
    <row r="122" spans="30:32" s="4" customFormat="1" x14ac:dyDescent="0.2">
      <c r="AD122" s="5"/>
      <c r="AE122" s="301"/>
      <c r="AF122" s="3"/>
    </row>
    <row r="123" spans="30:32" s="4" customFormat="1" x14ac:dyDescent="0.2">
      <c r="AD123" s="5"/>
      <c r="AE123" s="301"/>
      <c r="AF123" s="3"/>
    </row>
    <row r="124" spans="30:32" s="4" customFormat="1" x14ac:dyDescent="0.2">
      <c r="AD124" s="5"/>
      <c r="AE124" s="301"/>
      <c r="AF124" s="3"/>
    </row>
    <row r="125" spans="30:32" s="4" customFormat="1" x14ac:dyDescent="0.2">
      <c r="AD125" s="5"/>
      <c r="AE125" s="301"/>
      <c r="AF125" s="3"/>
    </row>
    <row r="126" spans="30:32" s="4" customFormat="1" x14ac:dyDescent="0.2">
      <c r="AD126" s="5"/>
      <c r="AE126" s="301"/>
      <c r="AF126" s="3"/>
    </row>
    <row r="127" spans="30:32" s="4" customFormat="1" x14ac:dyDescent="0.2">
      <c r="AD127" s="5"/>
      <c r="AE127" s="301"/>
      <c r="AF127" s="3"/>
    </row>
    <row r="128" spans="30:32" s="4" customFormat="1" x14ac:dyDescent="0.2">
      <c r="AD128" s="5"/>
      <c r="AE128" s="301"/>
      <c r="AF128" s="3"/>
    </row>
    <row r="129" spans="1:32" s="4" customFormat="1" x14ac:dyDescent="0.2">
      <c r="AD129" s="5"/>
      <c r="AE129" s="301"/>
      <c r="AF129" s="3"/>
    </row>
    <row r="130" spans="1:32" s="4" customFormat="1" x14ac:dyDescent="0.2">
      <c r="AD130" s="5"/>
      <c r="AE130" s="301"/>
      <c r="AF130" s="3"/>
    </row>
    <row r="131" spans="1:32" s="4" customFormat="1" x14ac:dyDescent="0.2">
      <c r="AD131" s="5"/>
      <c r="AE131" s="301"/>
      <c r="AF131" s="3"/>
    </row>
    <row r="132" spans="1:32" s="4" customFormat="1" x14ac:dyDescent="0.2">
      <c r="AD132" s="5"/>
      <c r="AE132" s="301"/>
      <c r="AF132" s="3"/>
    </row>
    <row r="133" spans="1:32" s="3" customForma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5"/>
      <c r="AE133" s="301"/>
    </row>
    <row r="134" spans="1:32"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5"/>
      <c r="AE134" s="301"/>
      <c r="AF134" s="3"/>
    </row>
    <row r="135" spans="1:32"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5"/>
      <c r="AE135" s="301"/>
      <c r="AF135" s="3"/>
    </row>
    <row r="136" spans="1:32"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5"/>
      <c r="AE136" s="301"/>
      <c r="AF136" s="3"/>
    </row>
    <row r="137" spans="1:32" x14ac:dyDescent="0.2">
      <c r="AF137" s="3"/>
    </row>
    <row r="138" spans="1:32" x14ac:dyDescent="0.2">
      <c r="AF138" s="3"/>
    </row>
  </sheetData>
  <mergeCells count="20">
    <mergeCell ref="AD1:AE1"/>
    <mergeCell ref="B88:C88"/>
    <mergeCell ref="D88:E88"/>
    <mergeCell ref="F88:G88"/>
    <mergeCell ref="B89:C89"/>
    <mergeCell ref="D89:E89"/>
    <mergeCell ref="F89:G89"/>
    <mergeCell ref="A85:B85"/>
    <mergeCell ref="A63:AC63"/>
    <mergeCell ref="A73:B73"/>
    <mergeCell ref="A74:B74"/>
    <mergeCell ref="N1:Q1"/>
    <mergeCell ref="K16:M16"/>
    <mergeCell ref="N16:Q16"/>
    <mergeCell ref="A1:G1"/>
    <mergeCell ref="AG36:AH36"/>
    <mergeCell ref="R16:W16"/>
    <mergeCell ref="X16:AB16"/>
    <mergeCell ref="B16:E16"/>
    <mergeCell ref="F16:J16"/>
  </mergeCells>
  <phoneticPr fontId="0" type="noConversion"/>
  <conditionalFormatting sqref="C91:C102">
    <cfRule type="cellIs" dxfId="58" priority="35" operator="equal">
      <formula>B91</formula>
    </cfRule>
  </conditionalFormatting>
  <conditionalFormatting sqref="D91:E102">
    <cfRule type="cellIs" dxfId="57" priority="36" operator="equal">
      <formula>C91</formula>
    </cfRule>
  </conditionalFormatting>
  <conditionalFormatting sqref="F93:F102">
    <cfRule type="cellIs" dxfId="56" priority="37" operator="equal">
      <formula>G93</formula>
    </cfRule>
  </conditionalFormatting>
  <conditionalFormatting sqref="E91:E92">
    <cfRule type="cellIs" dxfId="55" priority="43" operator="equal">
      <formula>D91</formula>
    </cfRule>
  </conditionalFormatting>
  <conditionalFormatting sqref="C91">
    <cfRule type="cellIs" dxfId="54" priority="42" operator="equal">
      <formula>B91</formula>
    </cfRule>
  </conditionalFormatting>
  <conditionalFormatting sqref="D91">
    <cfRule type="cellIs" dxfId="53" priority="41" operator="equal">
      <formula>C91</formula>
    </cfRule>
  </conditionalFormatting>
  <conditionalFormatting sqref="E91:E92">
    <cfRule type="cellIs" dxfId="52" priority="40" operator="equal">
      <formula>D91</formula>
    </cfRule>
  </conditionalFormatting>
  <conditionalFormatting sqref="C91">
    <cfRule type="cellIs" dxfId="51" priority="39" operator="equal">
      <formula>B91</formula>
    </cfRule>
  </conditionalFormatting>
  <conditionalFormatting sqref="D91">
    <cfRule type="cellIs" dxfId="50" priority="38" operator="equal">
      <formula>C91</formula>
    </cfRule>
  </conditionalFormatting>
  <conditionalFormatting sqref="E91:E92">
    <cfRule type="cellIs" dxfId="49" priority="44" operator="equal">
      <formula>D91</formula>
    </cfRule>
  </conditionalFormatting>
  <conditionalFormatting sqref="E94:E99">
    <cfRule type="cellIs" dxfId="48" priority="33" operator="equal">
      <formula>D94</formula>
    </cfRule>
  </conditionalFormatting>
  <conditionalFormatting sqref="E94:E99">
    <cfRule type="cellIs" dxfId="47" priority="32" operator="equal">
      <formula>D94</formula>
    </cfRule>
  </conditionalFormatting>
  <conditionalFormatting sqref="E94:E99">
    <cfRule type="cellIs" dxfId="46" priority="34" operator="equal">
      <formula>D94</formula>
    </cfRule>
  </conditionalFormatting>
  <conditionalFormatting sqref="E91:E92">
    <cfRule type="cellIs" dxfId="45" priority="30" operator="equal">
      <formula>D91</formula>
    </cfRule>
  </conditionalFormatting>
  <conditionalFormatting sqref="E91:E92">
    <cfRule type="cellIs" dxfId="44" priority="29" operator="equal">
      <formula>D91</formula>
    </cfRule>
  </conditionalFormatting>
  <conditionalFormatting sqref="E91:E92">
    <cfRule type="cellIs" dxfId="43" priority="31" operator="equal">
      <formula>D91</formula>
    </cfRule>
  </conditionalFormatting>
  <conditionalFormatting sqref="E91:E92">
    <cfRule type="cellIs" dxfId="42" priority="27" operator="equal">
      <formula>D91</formula>
    </cfRule>
  </conditionalFormatting>
  <conditionalFormatting sqref="E91:E92">
    <cfRule type="cellIs" dxfId="41" priority="26" operator="equal">
      <formula>D91</formula>
    </cfRule>
  </conditionalFormatting>
  <conditionalFormatting sqref="E91:E92">
    <cfRule type="cellIs" dxfId="40" priority="28" operator="equal">
      <formula>D91</formula>
    </cfRule>
  </conditionalFormatting>
  <conditionalFormatting sqref="E101:E102">
    <cfRule type="cellIs" dxfId="39" priority="24" operator="equal">
      <formula>D101</formula>
    </cfRule>
  </conditionalFormatting>
  <conditionalFormatting sqref="E101:E102">
    <cfRule type="cellIs" dxfId="38" priority="23" operator="equal">
      <formula>D101</formula>
    </cfRule>
  </conditionalFormatting>
  <conditionalFormatting sqref="E101:E102">
    <cfRule type="cellIs" dxfId="37" priority="25" operator="equal">
      <formula>D101</formula>
    </cfRule>
  </conditionalFormatting>
  <conditionalFormatting sqref="F91">
    <cfRule type="cellIs" dxfId="36" priority="22" operator="equal">
      <formula>G91</formula>
    </cfRule>
  </conditionalFormatting>
  <conditionalFormatting sqref="F92">
    <cfRule type="cellIs" dxfId="35" priority="21" operator="equal">
      <formula>G92</formula>
    </cfRule>
  </conditionalFormatting>
  <dataValidations disablePrompts="1" count="1">
    <dataValidation type="list" allowBlank="1" showInputMessage="1" showErrorMessage="1" sqref="AH37" xr:uid="{00000000-0002-0000-0200-000000000000}">
      <formula1>$B$14:$AE$14</formula1>
    </dataValidation>
  </dataValidations>
  <hyperlinks>
    <hyperlink ref="H1" location="Inventory!A1" display="Inventory" xr:uid="{00000000-0004-0000-0200-000000000000}"/>
    <hyperlink ref="H2" location="'VRC C-2A 2-ACFT DRRS(U)'!A111" display="AMFOM" xr:uid="{00000000-0004-0000-0200-000001000000}"/>
    <hyperlink ref="I89" location="Inventory!A1" display="Inventory" xr:uid="{00000000-0004-0000-0200-000002000000}"/>
    <hyperlink ref="I90" location="'VRC C-2A 2-ACFT DRRS(U)'!A1" display="Top" xr:uid="{00000000-0004-0000-0200-000003000000}"/>
  </hyperlinks>
  <pageMargins left="0.25" right="0.25" top="0.25" bottom="0.25" header="0.5" footer="0.5"/>
  <pageSetup scale="32" orientation="landscape" horizontalDpi="4294967294"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F155"/>
  <sheetViews>
    <sheetView showGridLines="0" topLeftCell="A21" zoomScaleNormal="100" workbookViewId="0">
      <selection activeCell="A46" sqref="A46:XFD47"/>
    </sheetView>
  </sheetViews>
  <sheetFormatPr defaultRowHeight="11.25" x14ac:dyDescent="0.2"/>
  <cols>
    <col min="1" max="1" width="39.42578125" style="77" bestFit="1" customWidth="1"/>
    <col min="2" max="13" width="5.7109375" style="77" customWidth="1"/>
    <col min="14" max="14" width="5.7109375" style="64" customWidth="1"/>
    <col min="15" max="15" width="6.28515625" style="64" customWidth="1"/>
    <col min="16" max="16" width="15.5703125" style="64" bestFit="1" customWidth="1"/>
    <col min="17" max="17" width="6.85546875" style="77" customWidth="1"/>
    <col min="18" max="18" width="6.140625" style="77" customWidth="1"/>
    <col min="19" max="29" width="5.7109375" style="77" customWidth="1"/>
    <col min="30" max="30" width="6.28515625" style="77" bestFit="1" customWidth="1"/>
    <col min="31" max="16384" width="9.140625" style="77"/>
  </cols>
  <sheetData>
    <row r="1" spans="1:30" s="48" customFormat="1" ht="18.75" x14ac:dyDescent="0.3">
      <c r="A1" s="576" t="s">
        <v>180</v>
      </c>
      <c r="B1" s="576"/>
      <c r="C1" s="576"/>
      <c r="D1" s="576"/>
      <c r="F1" s="49"/>
      <c r="H1" s="247" t="s">
        <v>37</v>
      </c>
      <c r="M1" s="50" t="s">
        <v>38</v>
      </c>
      <c r="N1" s="567">
        <v>44835</v>
      </c>
      <c r="O1" s="568"/>
      <c r="P1" s="569"/>
      <c r="Q1" s="569"/>
      <c r="AC1" s="488" t="s">
        <v>39</v>
      </c>
      <c r="AD1" s="487">
        <v>3.02</v>
      </c>
    </row>
    <row r="2" spans="1:30" s="55" customFormat="1" ht="15" x14ac:dyDescent="0.25">
      <c r="A2" s="51" t="s">
        <v>40</v>
      </c>
      <c r="B2" s="52">
        <v>2</v>
      </c>
      <c r="C2" s="53"/>
      <c r="D2" s="54"/>
      <c r="E2" s="54"/>
      <c r="F2" s="54"/>
      <c r="H2" s="461" t="s">
        <v>3</v>
      </c>
    </row>
    <row r="3" spans="1:30" s="55" customFormat="1" ht="12" x14ac:dyDescent="0.2">
      <c r="A3" s="51" t="s">
        <v>41</v>
      </c>
      <c r="B3" s="53">
        <v>1.5</v>
      </c>
      <c r="C3" s="53"/>
      <c r="D3" s="54"/>
      <c r="E3" s="54"/>
      <c r="F3" s="54"/>
      <c r="G3" s="56"/>
      <c r="H3" s="57"/>
      <c r="I3" s="58"/>
      <c r="J3" s="58"/>
      <c r="K3" s="58"/>
    </row>
    <row r="4" spans="1:30" s="55" customFormat="1" ht="12" x14ac:dyDescent="0.2">
      <c r="A4" s="51" t="s">
        <v>42</v>
      </c>
      <c r="B4" s="52">
        <f>ROUND(B2*B3,0)</f>
        <v>3</v>
      </c>
      <c r="C4" s="53"/>
      <c r="D4" s="59"/>
      <c r="E4" s="54"/>
      <c r="F4" s="54"/>
      <c r="G4" s="56"/>
      <c r="H4" s="56"/>
      <c r="I4" s="60"/>
      <c r="J4" s="60"/>
      <c r="K4" s="60"/>
    </row>
    <row r="5" spans="1:30" s="55" customFormat="1" ht="12" x14ac:dyDescent="0.2">
      <c r="A5" s="51" t="s">
        <v>43</v>
      </c>
      <c r="B5" s="53">
        <v>1.5</v>
      </c>
      <c r="C5" s="61"/>
      <c r="D5" s="54"/>
      <c r="E5" s="54"/>
      <c r="F5" s="54"/>
      <c r="G5" s="56"/>
      <c r="H5" s="56"/>
      <c r="I5" s="60"/>
      <c r="J5" s="60"/>
      <c r="K5" s="60"/>
    </row>
    <row r="6" spans="1:30" s="55" customFormat="1" ht="12" x14ac:dyDescent="0.2">
      <c r="A6" s="62" t="s">
        <v>44</v>
      </c>
      <c r="B6" s="53">
        <v>13.4</v>
      </c>
      <c r="C6" s="61"/>
      <c r="D6" s="54"/>
      <c r="E6" s="54"/>
      <c r="F6" s="54"/>
      <c r="G6" s="56"/>
      <c r="H6" s="56"/>
      <c r="I6" s="60"/>
      <c r="J6" s="60"/>
      <c r="K6" s="60"/>
      <c r="L6" s="60"/>
      <c r="M6" s="60"/>
    </row>
    <row r="7" spans="1:30" s="55" customFormat="1" ht="12" x14ac:dyDescent="0.2">
      <c r="A7" s="51" t="s">
        <v>45</v>
      </c>
      <c r="B7" s="53">
        <f>B6*B4</f>
        <v>40.200000000000003</v>
      </c>
      <c r="C7" s="63"/>
      <c r="D7" s="64"/>
      <c r="E7" s="54"/>
      <c r="F7" s="54"/>
      <c r="G7" s="56"/>
      <c r="H7" s="56"/>
      <c r="I7" s="60"/>
      <c r="J7" s="60"/>
      <c r="K7" s="60"/>
      <c r="L7" s="60"/>
      <c r="M7" s="60"/>
    </row>
    <row r="8" spans="1:30" s="55" customFormat="1" ht="12" x14ac:dyDescent="0.2">
      <c r="A8" s="51" t="s">
        <v>46</v>
      </c>
      <c r="B8" s="53">
        <f>B7/B5</f>
        <v>26.8</v>
      </c>
      <c r="C8" s="53"/>
      <c r="D8" s="64"/>
      <c r="E8" s="54"/>
      <c r="F8" s="54"/>
      <c r="G8" s="56"/>
      <c r="H8" s="56"/>
      <c r="I8" s="60"/>
      <c r="J8" s="60"/>
      <c r="K8" s="60"/>
      <c r="L8" s="60"/>
      <c r="M8" s="60"/>
    </row>
    <row r="9" spans="1:30" s="55" customFormat="1" ht="12" x14ac:dyDescent="0.2">
      <c r="A9" s="51" t="s">
        <v>47</v>
      </c>
      <c r="B9" s="65">
        <f>B4*C9</f>
        <v>20.100000000000001</v>
      </c>
      <c r="C9" s="22">
        <v>6.7</v>
      </c>
      <c r="D9" s="64" t="s">
        <v>48</v>
      </c>
      <c r="E9" s="54"/>
      <c r="F9" s="54"/>
      <c r="G9" s="25" t="s">
        <v>49</v>
      </c>
      <c r="H9" s="26">
        <v>0.4</v>
      </c>
      <c r="I9" s="66"/>
      <c r="J9" s="66"/>
      <c r="K9" s="66"/>
      <c r="L9" s="66"/>
      <c r="M9" s="66"/>
      <c r="N9" s="67"/>
      <c r="O9" s="67"/>
      <c r="P9" s="67"/>
    </row>
    <row r="10" spans="1:30" s="55" customFormat="1" ht="12" x14ac:dyDescent="0.2">
      <c r="A10" s="51" t="s">
        <v>50</v>
      </c>
      <c r="B10" s="65">
        <f>B4*C10</f>
        <v>99.999899999999997</v>
      </c>
      <c r="C10" s="53">
        <v>33.333300000000001</v>
      </c>
      <c r="D10" s="64" t="s">
        <v>48</v>
      </c>
      <c r="E10" s="54"/>
      <c r="F10" s="54"/>
      <c r="G10" s="27" t="s">
        <v>51</v>
      </c>
      <c r="H10" s="26">
        <v>1.9E-2</v>
      </c>
      <c r="I10" s="58"/>
      <c r="J10" s="58"/>
      <c r="K10" s="58"/>
      <c r="L10" s="58"/>
      <c r="M10" s="58"/>
    </row>
    <row r="11" spans="1:30" s="55" customFormat="1" ht="12" x14ac:dyDescent="0.2">
      <c r="A11" s="258" t="s">
        <v>52</v>
      </c>
      <c r="B11" s="259">
        <f>C11*B4</f>
        <v>0</v>
      </c>
      <c r="C11" s="260">
        <v>0</v>
      </c>
      <c r="D11" s="261" t="s">
        <v>48</v>
      </c>
      <c r="E11" s="66"/>
      <c r="F11" s="66"/>
      <c r="G11" s="66"/>
      <c r="H11" s="66"/>
      <c r="I11" s="66"/>
      <c r="J11" s="66"/>
      <c r="K11" s="66"/>
      <c r="L11" s="66"/>
      <c r="M11" s="66"/>
    </row>
    <row r="12" spans="1:30" s="55" customFormat="1" ht="12" x14ac:dyDescent="0.2">
      <c r="C12" s="68"/>
      <c r="D12" s="66"/>
      <c r="E12" s="66"/>
      <c r="F12" s="66"/>
      <c r="G12" s="66"/>
      <c r="H12" s="66"/>
      <c r="I12" s="66"/>
      <c r="J12" s="66"/>
      <c r="K12" s="66"/>
      <c r="L12" s="66"/>
      <c r="M12" s="66"/>
    </row>
    <row r="13" spans="1:30" s="71" customFormat="1" ht="59.25" customHeight="1" x14ac:dyDescent="0.2">
      <c r="A13" s="69" t="s">
        <v>53</v>
      </c>
      <c r="B13" s="70" t="s">
        <v>59</v>
      </c>
      <c r="C13" s="70" t="s">
        <v>59</v>
      </c>
      <c r="D13" s="70" t="s">
        <v>98</v>
      </c>
      <c r="E13" s="70" t="s">
        <v>98</v>
      </c>
      <c r="F13" s="70" t="s">
        <v>98</v>
      </c>
      <c r="G13" s="70" t="s">
        <v>59</v>
      </c>
      <c r="H13" s="70" t="s">
        <v>59</v>
      </c>
      <c r="I13" s="70" t="s">
        <v>59</v>
      </c>
      <c r="J13" s="70" t="s">
        <v>98</v>
      </c>
      <c r="K13" s="70" t="s">
        <v>98</v>
      </c>
      <c r="L13" s="70" t="s">
        <v>98</v>
      </c>
      <c r="M13" s="70" t="s">
        <v>98</v>
      </c>
      <c r="N13" s="28" t="s">
        <v>60</v>
      </c>
    </row>
    <row r="14" spans="1:30" s="71" customFormat="1" ht="12" x14ac:dyDescent="0.2">
      <c r="A14" s="69" t="s">
        <v>61</v>
      </c>
      <c r="B14" s="72" t="s">
        <v>78</v>
      </c>
      <c r="C14" s="72" t="s">
        <v>79</v>
      </c>
      <c r="D14" s="72" t="s">
        <v>64</v>
      </c>
      <c r="E14" s="72" t="s">
        <v>65</v>
      </c>
      <c r="F14" s="72" t="s">
        <v>181</v>
      </c>
      <c r="G14" s="72" t="s">
        <v>80</v>
      </c>
      <c r="H14" s="72" t="s">
        <v>81</v>
      </c>
      <c r="I14" s="72" t="s">
        <v>82</v>
      </c>
      <c r="J14" s="72" t="s">
        <v>182</v>
      </c>
      <c r="K14" s="72" t="s">
        <v>183</v>
      </c>
      <c r="L14" s="72" t="s">
        <v>184</v>
      </c>
      <c r="M14" s="72" t="s">
        <v>185</v>
      </c>
      <c r="N14" s="29" t="s">
        <v>89</v>
      </c>
      <c r="O14" s="71">
        <v>1</v>
      </c>
    </row>
    <row r="15" spans="1:30" s="71" customFormat="1" ht="12" x14ac:dyDescent="0.2">
      <c r="A15" s="69" t="s">
        <v>92</v>
      </c>
      <c r="B15" s="72">
        <v>1</v>
      </c>
      <c r="C15" s="72">
        <v>2</v>
      </c>
      <c r="D15" s="72">
        <v>3</v>
      </c>
      <c r="E15" s="72">
        <v>4</v>
      </c>
      <c r="F15" s="72">
        <v>5</v>
      </c>
      <c r="G15" s="72">
        <v>6</v>
      </c>
      <c r="H15" s="72">
        <v>7</v>
      </c>
      <c r="I15" s="72">
        <v>8</v>
      </c>
      <c r="J15" s="72">
        <v>9</v>
      </c>
      <c r="K15" s="72">
        <v>10</v>
      </c>
      <c r="L15" s="72">
        <v>11</v>
      </c>
      <c r="M15" s="72">
        <v>12</v>
      </c>
      <c r="N15" s="29">
        <v>28</v>
      </c>
      <c r="O15" s="71">
        <f>O14+1</f>
        <v>2</v>
      </c>
    </row>
    <row r="16" spans="1:30" s="55" customFormat="1" ht="12" x14ac:dyDescent="0.2">
      <c r="A16" s="69" t="s">
        <v>93</v>
      </c>
      <c r="B16" s="570" t="s">
        <v>59</v>
      </c>
      <c r="C16" s="571"/>
      <c r="D16" s="570" t="s">
        <v>98</v>
      </c>
      <c r="E16" s="572"/>
      <c r="F16" s="571"/>
      <c r="G16" s="570" t="s">
        <v>59</v>
      </c>
      <c r="H16" s="572"/>
      <c r="I16" s="571"/>
      <c r="J16" s="72" t="s">
        <v>98</v>
      </c>
      <c r="K16" s="570" t="s">
        <v>100</v>
      </c>
      <c r="L16" s="572"/>
      <c r="M16" s="571"/>
      <c r="N16" s="29" t="s">
        <v>99</v>
      </c>
      <c r="O16" s="71">
        <f t="shared" ref="O16:O47" si="0">O15+1</f>
        <v>3</v>
      </c>
    </row>
    <row r="17" spans="1:28" ht="12.75" x14ac:dyDescent="0.2">
      <c r="A17" s="73" t="s">
        <v>101</v>
      </c>
      <c r="B17" s="74"/>
      <c r="C17" s="75"/>
      <c r="D17" s="75"/>
      <c r="E17" s="75"/>
      <c r="F17" s="75"/>
      <c r="G17" s="75"/>
      <c r="H17" s="75"/>
      <c r="I17" s="75"/>
      <c r="J17" s="75"/>
      <c r="K17" s="75"/>
      <c r="L17" s="75"/>
      <c r="M17" s="75"/>
      <c r="N17" s="33"/>
      <c r="O17" s="71">
        <f t="shared" si="0"/>
        <v>4</v>
      </c>
      <c r="Q17" s="76"/>
      <c r="R17" s="76"/>
      <c r="S17" s="76"/>
      <c r="T17" s="76"/>
      <c r="U17" s="76"/>
      <c r="V17" s="76"/>
      <c r="W17" s="76"/>
      <c r="X17" s="76"/>
      <c r="Y17" s="76"/>
      <c r="Z17" s="76"/>
      <c r="AA17" s="76"/>
      <c r="AB17" s="76"/>
    </row>
    <row r="18" spans="1:28" ht="12" x14ac:dyDescent="0.2">
      <c r="A18" s="34" t="s">
        <v>102</v>
      </c>
      <c r="B18" s="35">
        <f t="shared" ref="B18:N18" si="1">IF(B66&lt;80,B67,MIN(B66,80))</f>
        <v>80</v>
      </c>
      <c r="C18" s="35">
        <f t="shared" si="1"/>
        <v>80</v>
      </c>
      <c r="D18" s="35">
        <f t="shared" si="1"/>
        <v>80</v>
      </c>
      <c r="E18" s="35">
        <f t="shared" si="1"/>
        <v>80</v>
      </c>
      <c r="F18" s="35">
        <f t="shared" si="1"/>
        <v>80</v>
      </c>
      <c r="G18" s="35">
        <f t="shared" si="1"/>
        <v>80</v>
      </c>
      <c r="H18" s="35">
        <f t="shared" si="1"/>
        <v>80</v>
      </c>
      <c r="I18" s="35">
        <f t="shared" si="1"/>
        <v>80</v>
      </c>
      <c r="J18" s="35">
        <f t="shared" si="1"/>
        <v>80</v>
      </c>
      <c r="K18" s="35">
        <f t="shared" si="1"/>
        <v>80</v>
      </c>
      <c r="L18" s="35">
        <f t="shared" si="1"/>
        <v>80</v>
      </c>
      <c r="M18" s="35">
        <f t="shared" si="1"/>
        <v>80</v>
      </c>
      <c r="N18" s="35">
        <f t="shared" si="1"/>
        <v>25.098281988201322</v>
      </c>
      <c r="O18" s="71">
        <f t="shared" si="0"/>
        <v>5</v>
      </c>
      <c r="Q18" s="76"/>
      <c r="R18" s="76"/>
      <c r="S18" s="76"/>
      <c r="T18" s="76"/>
      <c r="U18" s="76"/>
      <c r="V18" s="76"/>
      <c r="W18" s="76"/>
      <c r="X18" s="76"/>
      <c r="Y18" s="76"/>
      <c r="Z18" s="76"/>
      <c r="AA18" s="76"/>
      <c r="AB18" s="76"/>
    </row>
    <row r="19" spans="1:28" ht="12" x14ac:dyDescent="0.2">
      <c r="A19" s="36" t="s">
        <v>103</v>
      </c>
      <c r="B19" s="78">
        <v>0.8</v>
      </c>
      <c r="C19" s="78">
        <v>0.8</v>
      </c>
      <c r="D19" s="78">
        <v>0.6</v>
      </c>
      <c r="E19" s="78">
        <v>0.75</v>
      </c>
      <c r="F19" s="78">
        <v>0.75</v>
      </c>
      <c r="G19" s="78">
        <v>0.8</v>
      </c>
      <c r="H19" s="78">
        <v>0.8</v>
      </c>
      <c r="I19" s="78">
        <v>0.8</v>
      </c>
      <c r="J19" s="78">
        <v>0.6</v>
      </c>
      <c r="K19" s="78">
        <v>0.75</v>
      </c>
      <c r="L19" s="78">
        <v>0.75</v>
      </c>
      <c r="M19" s="78">
        <v>0.75</v>
      </c>
      <c r="N19" s="37">
        <v>0.4</v>
      </c>
      <c r="O19" s="71">
        <f t="shared" si="0"/>
        <v>6</v>
      </c>
    </row>
    <row r="20" spans="1:28" ht="12" x14ac:dyDescent="0.2">
      <c r="A20" s="262" t="s">
        <v>104</v>
      </c>
      <c r="B20" s="78"/>
      <c r="C20" s="78"/>
      <c r="D20" s="78"/>
      <c r="E20" s="78"/>
      <c r="F20" s="78"/>
      <c r="G20" s="78"/>
      <c r="H20" s="78"/>
      <c r="I20" s="78"/>
      <c r="J20" s="78"/>
      <c r="K20" s="78"/>
      <c r="L20" s="78"/>
      <c r="M20" s="78"/>
      <c r="N20" s="37"/>
      <c r="O20" s="71">
        <f t="shared" si="0"/>
        <v>7</v>
      </c>
    </row>
    <row r="21" spans="1:28" ht="12" x14ac:dyDescent="0.2">
      <c r="A21" s="263" t="s">
        <v>105</v>
      </c>
      <c r="B21" s="38">
        <f t="shared" ref="B21:N21" si="2">B19*$B$8</f>
        <v>21.44</v>
      </c>
      <c r="C21" s="38">
        <f t="shared" si="2"/>
        <v>21.44</v>
      </c>
      <c r="D21" s="38">
        <f t="shared" si="2"/>
        <v>16.079999999999998</v>
      </c>
      <c r="E21" s="38">
        <f t="shared" si="2"/>
        <v>20.100000000000001</v>
      </c>
      <c r="F21" s="38">
        <f t="shared" si="2"/>
        <v>20.100000000000001</v>
      </c>
      <c r="G21" s="38">
        <f t="shared" si="2"/>
        <v>21.44</v>
      </c>
      <c r="H21" s="38">
        <f t="shared" si="2"/>
        <v>21.44</v>
      </c>
      <c r="I21" s="38">
        <f t="shared" si="2"/>
        <v>21.44</v>
      </c>
      <c r="J21" s="38">
        <f t="shared" si="2"/>
        <v>16.079999999999998</v>
      </c>
      <c r="K21" s="38">
        <f t="shared" si="2"/>
        <v>20.100000000000001</v>
      </c>
      <c r="L21" s="38">
        <f t="shared" si="2"/>
        <v>20.100000000000001</v>
      </c>
      <c r="M21" s="38">
        <f t="shared" si="2"/>
        <v>20.100000000000001</v>
      </c>
      <c r="N21" s="38">
        <f t="shared" si="2"/>
        <v>10.72</v>
      </c>
      <c r="O21" s="71">
        <f t="shared" si="0"/>
        <v>8</v>
      </c>
    </row>
    <row r="22" spans="1:28" ht="12" x14ac:dyDescent="0.2">
      <c r="A22" s="263" t="s">
        <v>106</v>
      </c>
      <c r="B22" s="39">
        <f t="shared" ref="B22:N22" si="3">B21*$B$5</f>
        <v>32.160000000000004</v>
      </c>
      <c r="C22" s="39">
        <f t="shared" si="3"/>
        <v>32.160000000000004</v>
      </c>
      <c r="D22" s="39">
        <f t="shared" si="3"/>
        <v>24.119999999999997</v>
      </c>
      <c r="E22" s="39">
        <f t="shared" si="3"/>
        <v>30.150000000000002</v>
      </c>
      <c r="F22" s="39">
        <f t="shared" si="3"/>
        <v>30.150000000000002</v>
      </c>
      <c r="G22" s="39">
        <f t="shared" si="3"/>
        <v>32.160000000000004</v>
      </c>
      <c r="H22" s="39">
        <f t="shared" si="3"/>
        <v>32.160000000000004</v>
      </c>
      <c r="I22" s="39">
        <f t="shared" si="3"/>
        <v>32.160000000000004</v>
      </c>
      <c r="J22" s="39">
        <f t="shared" si="3"/>
        <v>24.119999999999997</v>
      </c>
      <c r="K22" s="39">
        <f t="shared" si="3"/>
        <v>30.150000000000002</v>
      </c>
      <c r="L22" s="39">
        <f t="shared" si="3"/>
        <v>30.150000000000002</v>
      </c>
      <c r="M22" s="39">
        <f t="shared" si="3"/>
        <v>30.150000000000002</v>
      </c>
      <c r="N22" s="39">
        <f t="shared" si="3"/>
        <v>16.080000000000002</v>
      </c>
      <c r="O22" s="71">
        <f t="shared" si="0"/>
        <v>9</v>
      </c>
    </row>
    <row r="23" spans="1:28" ht="12" x14ac:dyDescent="0.2">
      <c r="A23" s="263" t="s">
        <v>107</v>
      </c>
      <c r="B23" s="41">
        <v>0</v>
      </c>
      <c r="C23" s="41">
        <v>0</v>
      </c>
      <c r="D23" s="40">
        <f t="shared" ref="D23:M23" si="4">$B$9</f>
        <v>20.100000000000001</v>
      </c>
      <c r="E23" s="40">
        <f t="shared" si="4"/>
        <v>20.100000000000001</v>
      </c>
      <c r="F23" s="40">
        <f t="shared" si="4"/>
        <v>20.100000000000001</v>
      </c>
      <c r="G23" s="41">
        <v>0</v>
      </c>
      <c r="H23" s="41">
        <v>0</v>
      </c>
      <c r="I23" s="41">
        <v>0</v>
      </c>
      <c r="J23" s="40">
        <f t="shared" si="4"/>
        <v>20.100000000000001</v>
      </c>
      <c r="K23" s="40">
        <f t="shared" si="4"/>
        <v>20.100000000000001</v>
      </c>
      <c r="L23" s="40">
        <f t="shared" si="4"/>
        <v>20.100000000000001</v>
      </c>
      <c r="M23" s="40">
        <f t="shared" si="4"/>
        <v>20.100000000000001</v>
      </c>
      <c r="N23" s="40">
        <f>$B$9</f>
        <v>20.100000000000001</v>
      </c>
      <c r="O23" s="71">
        <f t="shared" si="0"/>
        <v>10</v>
      </c>
    </row>
    <row r="24" spans="1:28" ht="12" x14ac:dyDescent="0.2">
      <c r="A24" s="263" t="s">
        <v>108</v>
      </c>
      <c r="B24" s="40">
        <f t="shared" ref="B24:M24" si="5">IF(ISBLANK(B87),0,$B$10)</f>
        <v>99.999899999999997</v>
      </c>
      <c r="C24" s="40">
        <f t="shared" si="5"/>
        <v>99.999899999999997</v>
      </c>
      <c r="D24" s="40">
        <f t="shared" si="5"/>
        <v>0</v>
      </c>
      <c r="E24" s="40">
        <f t="shared" si="5"/>
        <v>0</v>
      </c>
      <c r="F24" s="40">
        <f t="shared" si="5"/>
        <v>0</v>
      </c>
      <c r="G24" s="40">
        <f t="shared" si="5"/>
        <v>99.999899999999997</v>
      </c>
      <c r="H24" s="40">
        <f t="shared" si="5"/>
        <v>99.999899999999997</v>
      </c>
      <c r="I24" s="40">
        <f t="shared" si="5"/>
        <v>99.999899999999997</v>
      </c>
      <c r="J24" s="40">
        <f t="shared" si="5"/>
        <v>0</v>
      </c>
      <c r="K24" s="40">
        <f t="shared" si="5"/>
        <v>0</v>
      </c>
      <c r="L24" s="40">
        <f t="shared" si="5"/>
        <v>0</v>
      </c>
      <c r="M24" s="40">
        <f t="shared" si="5"/>
        <v>0</v>
      </c>
      <c r="N24" s="40">
        <f>IF(ISBLANK(#REF!),0,$B$10)</f>
        <v>99.999899999999997</v>
      </c>
      <c r="O24" s="71">
        <f t="shared" si="0"/>
        <v>11</v>
      </c>
    </row>
    <row r="25" spans="1:28" ht="12" x14ac:dyDescent="0.2">
      <c r="A25" s="263" t="s">
        <v>109</v>
      </c>
      <c r="B25" s="39">
        <f>B21*$B$5+SUM(B23:B24)</f>
        <v>132.15989999999999</v>
      </c>
      <c r="C25" s="39">
        <f t="shared" ref="C25:M25" si="6">C21*$B$5+SUM(C23:C24)</f>
        <v>132.15989999999999</v>
      </c>
      <c r="D25" s="39">
        <f t="shared" si="6"/>
        <v>44.22</v>
      </c>
      <c r="E25" s="39">
        <f t="shared" si="6"/>
        <v>50.25</v>
      </c>
      <c r="F25" s="39">
        <f t="shared" si="6"/>
        <v>50.25</v>
      </c>
      <c r="G25" s="39">
        <f t="shared" si="6"/>
        <v>132.15989999999999</v>
      </c>
      <c r="H25" s="39">
        <f t="shared" si="6"/>
        <v>132.15989999999999</v>
      </c>
      <c r="I25" s="39">
        <f t="shared" si="6"/>
        <v>132.15989999999999</v>
      </c>
      <c r="J25" s="39">
        <f t="shared" si="6"/>
        <v>44.22</v>
      </c>
      <c r="K25" s="39">
        <f t="shared" si="6"/>
        <v>50.25</v>
      </c>
      <c r="L25" s="39">
        <f t="shared" si="6"/>
        <v>50.25</v>
      </c>
      <c r="M25" s="39">
        <f t="shared" si="6"/>
        <v>50.25</v>
      </c>
      <c r="N25" s="39">
        <f>N21*$B$5+SUM(N23:N24)</f>
        <v>136.1799</v>
      </c>
      <c r="O25" s="71">
        <f t="shared" si="0"/>
        <v>12</v>
      </c>
    </row>
    <row r="26" spans="1:28" ht="12" x14ac:dyDescent="0.2">
      <c r="A26" s="264" t="s">
        <v>110</v>
      </c>
      <c r="B26" s="42">
        <f t="shared" ref="B26:M26" si="7">-IF(ISBLANK(B86),0,MIN(B$22*$H$10,B$22-$B$7*$H$9))</f>
        <v>0</v>
      </c>
      <c r="C26" s="42">
        <f t="shared" si="7"/>
        <v>0</v>
      </c>
      <c r="D26" s="42">
        <f t="shared" si="7"/>
        <v>0</v>
      </c>
      <c r="E26" s="42">
        <f t="shared" si="7"/>
        <v>0</v>
      </c>
      <c r="F26" s="42">
        <f t="shared" si="7"/>
        <v>0</v>
      </c>
      <c r="G26" s="42">
        <f t="shared" si="7"/>
        <v>0</v>
      </c>
      <c r="H26" s="42">
        <f t="shared" si="7"/>
        <v>0</v>
      </c>
      <c r="I26" s="42">
        <f t="shared" si="7"/>
        <v>0</v>
      </c>
      <c r="J26" s="42">
        <f t="shared" si="7"/>
        <v>0</v>
      </c>
      <c r="K26" s="42">
        <f t="shared" si="7"/>
        <v>0</v>
      </c>
      <c r="L26" s="42">
        <f t="shared" si="7"/>
        <v>0</v>
      </c>
      <c r="M26" s="42">
        <f t="shared" si="7"/>
        <v>0</v>
      </c>
      <c r="N26" s="42">
        <f>-IF(ISBLANK(#REF!),0,MIN(N$22*$H$10,N$22-$B$7*$H$9))</f>
        <v>0</v>
      </c>
      <c r="O26" s="71">
        <f t="shared" si="0"/>
        <v>13</v>
      </c>
    </row>
    <row r="27" spans="1:28" ht="12" x14ac:dyDescent="0.2">
      <c r="A27" s="263" t="s">
        <v>111</v>
      </c>
      <c r="B27" s="42">
        <f t="shared" ref="B27:M27" si="8">SUM(B25:B26)</f>
        <v>132.15989999999999</v>
      </c>
      <c r="C27" s="42">
        <f t="shared" si="8"/>
        <v>132.15989999999999</v>
      </c>
      <c r="D27" s="42">
        <f t="shared" si="8"/>
        <v>44.22</v>
      </c>
      <c r="E27" s="42">
        <f t="shared" si="8"/>
        <v>50.25</v>
      </c>
      <c r="F27" s="42">
        <f t="shared" si="8"/>
        <v>50.25</v>
      </c>
      <c r="G27" s="42">
        <f t="shared" si="8"/>
        <v>132.15989999999999</v>
      </c>
      <c r="H27" s="42">
        <f t="shared" si="8"/>
        <v>132.15989999999999</v>
      </c>
      <c r="I27" s="42">
        <f t="shared" si="8"/>
        <v>132.15989999999999</v>
      </c>
      <c r="J27" s="42">
        <f t="shared" si="8"/>
        <v>44.22</v>
      </c>
      <c r="K27" s="42">
        <f t="shared" si="8"/>
        <v>50.25</v>
      </c>
      <c r="L27" s="42">
        <f t="shared" si="8"/>
        <v>50.25</v>
      </c>
      <c r="M27" s="42">
        <f t="shared" si="8"/>
        <v>50.25</v>
      </c>
      <c r="N27" s="42">
        <f>SUM(N25:N26)</f>
        <v>136.1799</v>
      </c>
      <c r="O27" s="71">
        <f t="shared" si="0"/>
        <v>14</v>
      </c>
    </row>
    <row r="28" spans="1:28" ht="12" x14ac:dyDescent="0.2">
      <c r="A28" s="264" t="s">
        <v>112</v>
      </c>
      <c r="B28" s="79">
        <f>AVERAGE(L25:M25,B25)</f>
        <v>77.553299999999993</v>
      </c>
      <c r="C28" s="79">
        <f>AVERAGE(M25,B25:C25)</f>
        <v>104.8566</v>
      </c>
      <c r="D28" s="79">
        <f t="shared" ref="D28:M28" si="9">AVERAGE(B25:D25)</f>
        <v>102.84660000000001</v>
      </c>
      <c r="E28" s="79">
        <f t="shared" si="9"/>
        <v>75.543300000000002</v>
      </c>
      <c r="F28" s="79">
        <f t="shared" si="9"/>
        <v>48.24</v>
      </c>
      <c r="G28" s="79">
        <f t="shared" si="9"/>
        <v>77.553299999999993</v>
      </c>
      <c r="H28" s="79">
        <f t="shared" si="9"/>
        <v>104.8566</v>
      </c>
      <c r="I28" s="79">
        <f t="shared" si="9"/>
        <v>132.15989999999999</v>
      </c>
      <c r="J28" s="79">
        <f t="shared" si="9"/>
        <v>102.84660000000001</v>
      </c>
      <c r="K28" s="79">
        <f t="shared" si="9"/>
        <v>75.543300000000002</v>
      </c>
      <c r="L28" s="79">
        <f t="shared" si="9"/>
        <v>48.24</v>
      </c>
      <c r="M28" s="79">
        <f t="shared" si="9"/>
        <v>50.25</v>
      </c>
      <c r="N28" s="42">
        <f>SUM(N25:N26)</f>
        <v>136.1799</v>
      </c>
      <c r="O28" s="71">
        <f t="shared" si="0"/>
        <v>15</v>
      </c>
    </row>
    <row r="29" spans="1:28" ht="12" x14ac:dyDescent="0.2">
      <c r="A29" s="265" t="s">
        <v>113</v>
      </c>
      <c r="B29" s="267"/>
      <c r="C29" s="257"/>
      <c r="D29" s="257"/>
      <c r="E29" s="257"/>
      <c r="F29" s="257"/>
      <c r="G29" s="257"/>
      <c r="H29" s="257"/>
      <c r="I29" s="257"/>
      <c r="J29" s="257"/>
      <c r="K29" s="257"/>
      <c r="L29" s="257"/>
      <c r="M29" s="257"/>
      <c r="N29" s="39"/>
      <c r="O29" s="71">
        <f t="shared" si="0"/>
        <v>16</v>
      </c>
    </row>
    <row r="30" spans="1:28" ht="12" x14ac:dyDescent="0.2">
      <c r="A30" s="264" t="s">
        <v>114</v>
      </c>
      <c r="B30" s="268">
        <f t="shared" ref="B30:N30" si="10">IF(ISBLANK(B87),0,$B$11)</f>
        <v>0</v>
      </c>
      <c r="C30" s="268">
        <f t="shared" si="10"/>
        <v>0</v>
      </c>
      <c r="D30" s="268">
        <f t="shared" si="10"/>
        <v>0</v>
      </c>
      <c r="E30" s="268">
        <f t="shared" si="10"/>
        <v>0</v>
      </c>
      <c r="F30" s="268">
        <f t="shared" si="10"/>
        <v>0</v>
      </c>
      <c r="G30" s="268">
        <f t="shared" si="10"/>
        <v>0</v>
      </c>
      <c r="H30" s="268">
        <f t="shared" si="10"/>
        <v>0</v>
      </c>
      <c r="I30" s="268">
        <f t="shared" si="10"/>
        <v>0</v>
      </c>
      <c r="J30" s="268">
        <f t="shared" si="10"/>
        <v>0</v>
      </c>
      <c r="K30" s="268">
        <f t="shared" si="10"/>
        <v>0</v>
      </c>
      <c r="L30" s="268">
        <f t="shared" si="10"/>
        <v>0</v>
      </c>
      <c r="M30" s="268">
        <f t="shared" si="10"/>
        <v>0</v>
      </c>
      <c r="N30" s="268">
        <f t="shared" si="10"/>
        <v>0</v>
      </c>
      <c r="O30" s="71">
        <f t="shared" si="0"/>
        <v>17</v>
      </c>
    </row>
    <row r="31" spans="1:28" s="83" customFormat="1" ht="12.75" x14ac:dyDescent="0.2">
      <c r="A31" s="266" t="s">
        <v>115</v>
      </c>
      <c r="B31" s="80"/>
      <c r="C31" s="81"/>
      <c r="D31" s="81"/>
      <c r="E31" s="81"/>
      <c r="F31" s="81"/>
      <c r="G31" s="81"/>
      <c r="H31" s="81"/>
      <c r="I31" s="81"/>
      <c r="J31" s="81"/>
      <c r="K31" s="81"/>
      <c r="L31" s="81"/>
      <c r="M31" s="81"/>
      <c r="N31" s="46"/>
      <c r="O31" s="71">
        <f t="shared" si="0"/>
        <v>18</v>
      </c>
      <c r="P31" s="82"/>
    </row>
    <row r="32" spans="1:28" s="83" customFormat="1" ht="12" x14ac:dyDescent="0.2">
      <c r="A32" s="364" t="s">
        <v>116</v>
      </c>
      <c r="B32" s="84">
        <v>1</v>
      </c>
      <c r="C32" s="84">
        <v>1</v>
      </c>
      <c r="D32" s="84">
        <v>1</v>
      </c>
      <c r="E32" s="84">
        <v>1</v>
      </c>
      <c r="F32" s="84">
        <v>1</v>
      </c>
      <c r="G32" s="84">
        <v>1</v>
      </c>
      <c r="H32" s="84">
        <v>1</v>
      </c>
      <c r="I32" s="84">
        <v>1</v>
      </c>
      <c r="J32" s="84">
        <v>1</v>
      </c>
      <c r="K32" s="84">
        <v>1</v>
      </c>
      <c r="L32" s="84">
        <v>1</v>
      </c>
      <c r="M32" s="84">
        <v>1</v>
      </c>
      <c r="N32" s="84">
        <v>1</v>
      </c>
      <c r="O32" s="71">
        <f t="shared" si="0"/>
        <v>19</v>
      </c>
      <c r="P32" s="82"/>
    </row>
    <row r="33" spans="1:32" s="87" customFormat="1" ht="12" x14ac:dyDescent="0.2">
      <c r="A33" s="364" t="s">
        <v>117</v>
      </c>
      <c r="B33" s="85">
        <f>0.8*B32</f>
        <v>0.8</v>
      </c>
      <c r="C33" s="85">
        <f t="shared" ref="C33:N33" si="11">0.8*C32</f>
        <v>0.8</v>
      </c>
      <c r="D33" s="85">
        <f t="shared" si="11"/>
        <v>0.8</v>
      </c>
      <c r="E33" s="85">
        <f t="shared" si="11"/>
        <v>0.8</v>
      </c>
      <c r="F33" s="85">
        <f t="shared" si="11"/>
        <v>0.8</v>
      </c>
      <c r="G33" s="85">
        <f t="shared" si="11"/>
        <v>0.8</v>
      </c>
      <c r="H33" s="85">
        <f t="shared" si="11"/>
        <v>0.8</v>
      </c>
      <c r="I33" s="85">
        <f t="shared" si="11"/>
        <v>0.8</v>
      </c>
      <c r="J33" s="85">
        <f t="shared" si="11"/>
        <v>0.8</v>
      </c>
      <c r="K33" s="85">
        <f t="shared" si="11"/>
        <v>0.8</v>
      </c>
      <c r="L33" s="85">
        <f t="shared" si="11"/>
        <v>0.8</v>
      </c>
      <c r="M33" s="85">
        <f t="shared" si="11"/>
        <v>0.8</v>
      </c>
      <c r="N33" s="85">
        <f t="shared" si="11"/>
        <v>0.8</v>
      </c>
      <c r="O33" s="71">
        <f t="shared" si="0"/>
        <v>20</v>
      </c>
      <c r="P33" s="86"/>
    </row>
    <row r="34" spans="1:32" s="89" customFormat="1" ht="12" x14ac:dyDescent="0.2">
      <c r="A34" s="364" t="s">
        <v>118</v>
      </c>
      <c r="B34" s="400">
        <f>((B36*$B$106)/$B$2)</f>
        <v>0.54413069786204105</v>
      </c>
      <c r="C34" s="400">
        <f t="shared" ref="C34:N34" si="12">((C36*$B$106)/$B$2)</f>
        <v>0.54413069786204105</v>
      </c>
      <c r="D34" s="400">
        <f t="shared" si="12"/>
        <v>0.54413069786204105</v>
      </c>
      <c r="E34" s="400">
        <f t="shared" si="12"/>
        <v>0.54413069786204105</v>
      </c>
      <c r="F34" s="400">
        <f t="shared" si="12"/>
        <v>0.54413069786204105</v>
      </c>
      <c r="G34" s="400">
        <f t="shared" si="12"/>
        <v>0.54413069786204105</v>
      </c>
      <c r="H34" s="400">
        <f t="shared" si="12"/>
        <v>0.54413069786204105</v>
      </c>
      <c r="I34" s="400">
        <f t="shared" si="12"/>
        <v>0.54413069786204105</v>
      </c>
      <c r="J34" s="400">
        <f t="shared" si="12"/>
        <v>0.54413069786204105</v>
      </c>
      <c r="K34" s="400">
        <f t="shared" si="12"/>
        <v>0.54413069786204105</v>
      </c>
      <c r="L34" s="400">
        <f t="shared" si="12"/>
        <v>0.54413069786204105</v>
      </c>
      <c r="M34" s="400">
        <f t="shared" si="12"/>
        <v>0.54413069786204105</v>
      </c>
      <c r="N34" s="400">
        <f t="shared" si="12"/>
        <v>0.54413069786204105</v>
      </c>
      <c r="O34" s="71">
        <f t="shared" si="0"/>
        <v>21</v>
      </c>
      <c r="P34" s="55"/>
    </row>
    <row r="35" spans="1:32" s="89" customFormat="1" ht="12" x14ac:dyDescent="0.2">
      <c r="A35" s="263" t="s">
        <v>121</v>
      </c>
      <c r="B35" s="88">
        <f t="shared" ref="B35:N35" si="13">ROUND(B32*$B$2,2)</f>
        <v>2</v>
      </c>
      <c r="C35" s="88">
        <f t="shared" si="13"/>
        <v>2</v>
      </c>
      <c r="D35" s="88">
        <f t="shared" si="13"/>
        <v>2</v>
      </c>
      <c r="E35" s="88">
        <f t="shared" si="13"/>
        <v>2</v>
      </c>
      <c r="F35" s="88">
        <f t="shared" si="13"/>
        <v>2</v>
      </c>
      <c r="G35" s="88">
        <f t="shared" si="13"/>
        <v>2</v>
      </c>
      <c r="H35" s="88">
        <f t="shared" si="13"/>
        <v>2</v>
      </c>
      <c r="I35" s="88">
        <f t="shared" si="13"/>
        <v>2</v>
      </c>
      <c r="J35" s="88">
        <f t="shared" si="13"/>
        <v>2</v>
      </c>
      <c r="K35" s="88">
        <f t="shared" si="13"/>
        <v>2</v>
      </c>
      <c r="L35" s="88">
        <f t="shared" si="13"/>
        <v>2</v>
      </c>
      <c r="M35" s="88">
        <f t="shared" si="13"/>
        <v>2</v>
      </c>
      <c r="N35" s="88">
        <f t="shared" si="13"/>
        <v>2</v>
      </c>
      <c r="O35" s="71">
        <f t="shared" si="0"/>
        <v>22</v>
      </c>
      <c r="P35" s="92" t="s">
        <v>119</v>
      </c>
      <c r="Q35" s="93" t="s">
        <v>120</v>
      </c>
      <c r="R35" s="94"/>
    </row>
    <row r="36" spans="1:32" s="55" customFormat="1" ht="12" x14ac:dyDescent="0.2">
      <c r="A36" s="263" t="s">
        <v>122</v>
      </c>
      <c r="B36" s="95">
        <f t="shared" ref="B36:N36" si="14">ROUND($B$2*B$33,2)</f>
        <v>1.6</v>
      </c>
      <c r="C36" s="95">
        <f t="shared" si="14"/>
        <v>1.6</v>
      </c>
      <c r="D36" s="95">
        <f t="shared" si="14"/>
        <v>1.6</v>
      </c>
      <c r="E36" s="95">
        <f t="shared" si="14"/>
        <v>1.6</v>
      </c>
      <c r="F36" s="95">
        <f t="shared" si="14"/>
        <v>1.6</v>
      </c>
      <c r="G36" s="95">
        <f t="shared" si="14"/>
        <v>1.6</v>
      </c>
      <c r="H36" s="95">
        <f t="shared" si="14"/>
        <v>1.6</v>
      </c>
      <c r="I36" s="95">
        <f t="shared" si="14"/>
        <v>1.6</v>
      </c>
      <c r="J36" s="95">
        <f t="shared" si="14"/>
        <v>1.6</v>
      </c>
      <c r="K36" s="95">
        <f t="shared" si="14"/>
        <v>1.6</v>
      </c>
      <c r="L36" s="95">
        <f t="shared" si="14"/>
        <v>1.6</v>
      </c>
      <c r="M36" s="95">
        <f t="shared" si="14"/>
        <v>1.6</v>
      </c>
      <c r="N36" s="95">
        <f t="shared" si="14"/>
        <v>1.6</v>
      </c>
      <c r="O36" s="71">
        <f t="shared" si="0"/>
        <v>23</v>
      </c>
      <c r="P36" s="63"/>
      <c r="Q36" s="94"/>
      <c r="R36" s="94"/>
    </row>
    <row r="37" spans="1:32" s="58" customFormat="1" ht="12" x14ac:dyDescent="0.2">
      <c r="A37" s="391" t="s">
        <v>124</v>
      </c>
      <c r="B37" s="508">
        <f>B34*$B$2</f>
        <v>1.0882613957240821</v>
      </c>
      <c r="C37" s="508">
        <f t="shared" ref="C37:N37" si="15">C34*$B$2</f>
        <v>1.0882613957240821</v>
      </c>
      <c r="D37" s="508">
        <f t="shared" si="15"/>
        <v>1.0882613957240821</v>
      </c>
      <c r="E37" s="508">
        <f t="shared" si="15"/>
        <v>1.0882613957240821</v>
      </c>
      <c r="F37" s="508">
        <f t="shared" si="15"/>
        <v>1.0882613957240821</v>
      </c>
      <c r="G37" s="508">
        <f t="shared" si="15"/>
        <v>1.0882613957240821</v>
      </c>
      <c r="H37" s="508">
        <f t="shared" si="15"/>
        <v>1.0882613957240821</v>
      </c>
      <c r="I37" s="508">
        <f t="shared" si="15"/>
        <v>1.0882613957240821</v>
      </c>
      <c r="J37" s="508">
        <f t="shared" si="15"/>
        <v>1.0882613957240821</v>
      </c>
      <c r="K37" s="508">
        <f t="shared" si="15"/>
        <v>1.0882613957240821</v>
      </c>
      <c r="L37" s="508">
        <f t="shared" si="15"/>
        <v>1.0882613957240821</v>
      </c>
      <c r="M37" s="508">
        <f t="shared" si="15"/>
        <v>1.0882613957240821</v>
      </c>
      <c r="N37" s="508">
        <f t="shared" si="15"/>
        <v>1.0882613957240821</v>
      </c>
      <c r="O37" s="71">
        <f t="shared" si="0"/>
        <v>24</v>
      </c>
      <c r="P37" s="566" t="s">
        <v>123</v>
      </c>
      <c r="Q37" s="566"/>
      <c r="R37" s="96"/>
    </row>
    <row r="38" spans="1:32" s="58" customFormat="1" ht="12" x14ac:dyDescent="0.2">
      <c r="A38" s="476" t="s">
        <v>125</v>
      </c>
      <c r="B38" s="473"/>
      <c r="C38" s="474"/>
      <c r="D38" s="474"/>
      <c r="E38" s="474"/>
      <c r="F38" s="474"/>
      <c r="G38" s="474"/>
      <c r="H38" s="474"/>
      <c r="I38" s="474"/>
      <c r="J38" s="474"/>
      <c r="K38" s="474"/>
      <c r="L38" s="474"/>
      <c r="M38" s="474"/>
      <c r="N38" s="475"/>
      <c r="O38" s="71">
        <f t="shared" si="0"/>
        <v>25</v>
      </c>
      <c r="P38" s="94"/>
      <c r="Q38" s="538" t="s">
        <v>182</v>
      </c>
      <c r="R38" s="486" t="s">
        <v>186</v>
      </c>
    </row>
    <row r="39" spans="1:32" s="58" customFormat="1" ht="12" x14ac:dyDescent="0.2">
      <c r="A39" s="471" t="s">
        <v>126</v>
      </c>
      <c r="B39" s="509">
        <f>B$36*$B107</f>
        <v>0.29019766034691408</v>
      </c>
      <c r="C39" s="509">
        <f t="shared" ref="C39:N39" si="16">C$36*$B107</f>
        <v>0.29019766034691408</v>
      </c>
      <c r="D39" s="509">
        <f t="shared" si="16"/>
        <v>0.29019766034691408</v>
      </c>
      <c r="E39" s="509">
        <f t="shared" si="16"/>
        <v>0.29019766034691408</v>
      </c>
      <c r="F39" s="509">
        <f t="shared" si="16"/>
        <v>0.29019766034691408</v>
      </c>
      <c r="G39" s="509">
        <f t="shared" si="16"/>
        <v>0.29019766034691408</v>
      </c>
      <c r="H39" s="509">
        <f t="shared" si="16"/>
        <v>0.29019766034691408</v>
      </c>
      <c r="I39" s="509">
        <f t="shared" si="16"/>
        <v>0.29019766034691408</v>
      </c>
      <c r="J39" s="509">
        <f t="shared" si="16"/>
        <v>0.29019766034691408</v>
      </c>
      <c r="K39" s="509">
        <f t="shared" si="16"/>
        <v>0.29019766034691408</v>
      </c>
      <c r="L39" s="509">
        <f t="shared" si="16"/>
        <v>0.29019766034691408</v>
      </c>
      <c r="M39" s="509">
        <f t="shared" si="16"/>
        <v>0.29019766034691408</v>
      </c>
      <c r="N39" s="509">
        <f t="shared" si="16"/>
        <v>0.29019766034691408</v>
      </c>
      <c r="O39" s="71">
        <f t="shared" si="0"/>
        <v>26</v>
      </c>
      <c r="P39" s="63"/>
      <c r="Q39" s="94"/>
      <c r="R39" s="94"/>
    </row>
    <row r="40" spans="1:32" s="58" customFormat="1" ht="12" x14ac:dyDescent="0.2">
      <c r="A40" s="471" t="s">
        <v>127</v>
      </c>
      <c r="B40" s="509">
        <f t="shared" ref="B40:N44" si="17">B$36*$B108</f>
        <v>1.6</v>
      </c>
      <c r="C40" s="509">
        <f t="shared" si="17"/>
        <v>1.6</v>
      </c>
      <c r="D40" s="509">
        <f t="shared" si="17"/>
        <v>1.6</v>
      </c>
      <c r="E40" s="509">
        <f t="shared" si="17"/>
        <v>1.6</v>
      </c>
      <c r="F40" s="509">
        <f t="shared" si="17"/>
        <v>1.6</v>
      </c>
      <c r="G40" s="509">
        <f t="shared" si="17"/>
        <v>1.6</v>
      </c>
      <c r="H40" s="509">
        <f t="shared" si="17"/>
        <v>1.6</v>
      </c>
      <c r="I40" s="509">
        <f t="shared" si="17"/>
        <v>1.6</v>
      </c>
      <c r="J40" s="509">
        <f t="shared" si="17"/>
        <v>1.6</v>
      </c>
      <c r="K40" s="509">
        <f t="shared" si="17"/>
        <v>1.6</v>
      </c>
      <c r="L40" s="509">
        <f t="shared" si="17"/>
        <v>1.6</v>
      </c>
      <c r="M40" s="509">
        <f t="shared" si="17"/>
        <v>1.6</v>
      </c>
      <c r="N40" s="509">
        <f t="shared" si="17"/>
        <v>1.6</v>
      </c>
      <c r="O40" s="71">
        <f t="shared" si="0"/>
        <v>27</v>
      </c>
      <c r="P40" s="63"/>
      <c r="Q40" s="94"/>
      <c r="R40" s="94"/>
    </row>
    <row r="41" spans="1:32" s="58" customFormat="1" ht="12" x14ac:dyDescent="0.2">
      <c r="A41" s="471" t="s">
        <v>128</v>
      </c>
      <c r="B41" s="509">
        <f t="shared" si="17"/>
        <v>0.29019766034691408</v>
      </c>
      <c r="C41" s="509">
        <f t="shared" si="17"/>
        <v>0.29019766034691408</v>
      </c>
      <c r="D41" s="509">
        <f t="shared" si="17"/>
        <v>0.29019766034691408</v>
      </c>
      <c r="E41" s="509">
        <f t="shared" si="17"/>
        <v>0.29019766034691408</v>
      </c>
      <c r="F41" s="509">
        <f t="shared" si="17"/>
        <v>0.29019766034691408</v>
      </c>
      <c r="G41" s="509">
        <f t="shared" si="17"/>
        <v>0.29019766034691408</v>
      </c>
      <c r="H41" s="509">
        <f t="shared" si="17"/>
        <v>0.29019766034691408</v>
      </c>
      <c r="I41" s="509">
        <f t="shared" si="17"/>
        <v>0.29019766034691408</v>
      </c>
      <c r="J41" s="509">
        <f t="shared" si="17"/>
        <v>0.29019766034691408</v>
      </c>
      <c r="K41" s="509">
        <f t="shared" si="17"/>
        <v>0.29019766034691408</v>
      </c>
      <c r="L41" s="509">
        <f t="shared" si="17"/>
        <v>0.29019766034691408</v>
      </c>
      <c r="M41" s="509">
        <f t="shared" si="17"/>
        <v>0.29019766034691408</v>
      </c>
      <c r="N41" s="509">
        <f t="shared" si="17"/>
        <v>0.29019766034691408</v>
      </c>
      <c r="O41" s="71">
        <f t="shared" si="0"/>
        <v>28</v>
      </c>
      <c r="P41" s="63"/>
      <c r="Q41" s="94"/>
      <c r="R41" s="94"/>
    </row>
    <row r="42" spans="1:32" s="58" customFormat="1" ht="12" x14ac:dyDescent="0.2">
      <c r="A42" s="471" t="s">
        <v>130</v>
      </c>
      <c r="B42" s="509">
        <f t="shared" si="17"/>
        <v>1.6</v>
      </c>
      <c r="C42" s="509">
        <f t="shared" si="17"/>
        <v>1.6</v>
      </c>
      <c r="D42" s="509">
        <f t="shared" si="17"/>
        <v>1.6</v>
      </c>
      <c r="E42" s="509">
        <f t="shared" si="17"/>
        <v>1.6</v>
      </c>
      <c r="F42" s="509">
        <f t="shared" si="17"/>
        <v>1.6</v>
      </c>
      <c r="G42" s="509">
        <f t="shared" si="17"/>
        <v>1.6</v>
      </c>
      <c r="H42" s="509">
        <f t="shared" si="17"/>
        <v>1.6</v>
      </c>
      <c r="I42" s="509">
        <f t="shared" si="17"/>
        <v>1.6</v>
      </c>
      <c r="J42" s="509">
        <f t="shared" si="17"/>
        <v>1.6</v>
      </c>
      <c r="K42" s="509">
        <f t="shared" si="17"/>
        <v>1.6</v>
      </c>
      <c r="L42" s="509">
        <f t="shared" si="17"/>
        <v>1.6</v>
      </c>
      <c r="M42" s="509">
        <f t="shared" si="17"/>
        <v>1.6</v>
      </c>
      <c r="N42" s="509">
        <f t="shared" si="17"/>
        <v>1.6</v>
      </c>
      <c r="O42" s="71">
        <f t="shared" si="0"/>
        <v>29</v>
      </c>
      <c r="P42" s="97" t="s">
        <v>129</v>
      </c>
      <c r="Q42" s="98">
        <f>HLOOKUP($Q$38,$B$14:$M$47,O47,FALSE)</f>
        <v>0.7</v>
      </c>
      <c r="R42" s="94"/>
    </row>
    <row r="43" spans="1:32" s="58" customFormat="1" ht="12" x14ac:dyDescent="0.2">
      <c r="A43" s="471" t="s">
        <v>132</v>
      </c>
      <c r="B43" s="509">
        <f>IF(B$13="Deploy",B$36,B$36*$B111)</f>
        <v>1.6</v>
      </c>
      <c r="C43" s="509">
        <f t="shared" ref="C43:N43" si="18">IF(C$13="Deploy",C$36,C$36*$B111)</f>
        <v>1.6</v>
      </c>
      <c r="D43" s="509">
        <f t="shared" si="18"/>
        <v>1.3745865268253328</v>
      </c>
      <c r="E43" s="509">
        <f t="shared" si="18"/>
        <v>1.3745865268253328</v>
      </c>
      <c r="F43" s="509">
        <f t="shared" si="18"/>
        <v>1.3745865268253328</v>
      </c>
      <c r="G43" s="509">
        <f t="shared" si="18"/>
        <v>1.6</v>
      </c>
      <c r="H43" s="509">
        <f t="shared" si="18"/>
        <v>1.6</v>
      </c>
      <c r="I43" s="509">
        <f t="shared" si="18"/>
        <v>1.6</v>
      </c>
      <c r="J43" s="509">
        <f t="shared" si="18"/>
        <v>1.3745865268253328</v>
      </c>
      <c r="K43" s="509">
        <f t="shared" si="18"/>
        <v>1.3745865268253328</v>
      </c>
      <c r="L43" s="509">
        <f t="shared" si="18"/>
        <v>1.3745865268253328</v>
      </c>
      <c r="M43" s="509">
        <f t="shared" si="18"/>
        <v>1.3745865268253328</v>
      </c>
      <c r="N43" s="509">
        <f t="shared" si="18"/>
        <v>1.3745865268253328</v>
      </c>
      <c r="O43" s="71">
        <f t="shared" si="0"/>
        <v>30</v>
      </c>
      <c r="P43" s="99" t="s">
        <v>131</v>
      </c>
      <c r="Q43" s="100">
        <v>0.7</v>
      </c>
      <c r="R43" s="94"/>
    </row>
    <row r="44" spans="1:32" s="64" customFormat="1" ht="12.75" x14ac:dyDescent="0.2">
      <c r="A44" s="472" t="s">
        <v>134</v>
      </c>
      <c r="B44" s="509">
        <f t="shared" si="17"/>
        <v>1.6</v>
      </c>
      <c r="C44" s="509">
        <f t="shared" si="17"/>
        <v>1.6</v>
      </c>
      <c r="D44" s="509">
        <f t="shared" si="17"/>
        <v>1.6</v>
      </c>
      <c r="E44" s="509">
        <f t="shared" si="17"/>
        <v>1.6</v>
      </c>
      <c r="F44" s="509">
        <f t="shared" si="17"/>
        <v>1.6</v>
      </c>
      <c r="G44" s="509">
        <f t="shared" si="17"/>
        <v>1.6</v>
      </c>
      <c r="H44" s="509">
        <f t="shared" si="17"/>
        <v>1.6</v>
      </c>
      <c r="I44" s="509">
        <f t="shared" si="17"/>
        <v>1.6</v>
      </c>
      <c r="J44" s="509">
        <f t="shared" si="17"/>
        <v>1.6</v>
      </c>
      <c r="K44" s="509">
        <f t="shared" si="17"/>
        <v>1.6</v>
      </c>
      <c r="L44" s="509">
        <f t="shared" si="17"/>
        <v>1.6</v>
      </c>
      <c r="M44" s="509">
        <f t="shared" si="17"/>
        <v>1.6</v>
      </c>
      <c r="N44" s="509">
        <f t="shared" si="17"/>
        <v>1.6</v>
      </c>
      <c r="O44" s="71">
        <f t="shared" si="0"/>
        <v>31</v>
      </c>
      <c r="P44" s="104" t="s">
        <v>133</v>
      </c>
      <c r="Q44" s="105">
        <f>IF(Q42-Q43&lt;0,0,Q42-Q43)</f>
        <v>0</v>
      </c>
      <c r="R44" s="94"/>
      <c r="S44" s="77"/>
      <c r="T44" s="77"/>
      <c r="U44" s="77"/>
      <c r="V44" s="77"/>
      <c r="W44" s="77"/>
      <c r="X44" s="77"/>
      <c r="Y44" s="77"/>
      <c r="Z44" s="77"/>
      <c r="AA44" s="77"/>
      <c r="AB44" s="77"/>
      <c r="AC44" s="77"/>
      <c r="AD44" s="77"/>
      <c r="AE44" s="77"/>
      <c r="AF44" s="77"/>
    </row>
    <row r="45" spans="1:32" s="64" customFormat="1" ht="12" x14ac:dyDescent="0.2">
      <c r="A45" s="476" t="s">
        <v>136</v>
      </c>
      <c r="B45" s="473"/>
      <c r="C45" s="474"/>
      <c r="D45" s="474"/>
      <c r="E45" s="474"/>
      <c r="F45" s="474"/>
      <c r="G45" s="474"/>
      <c r="H45" s="474"/>
      <c r="I45" s="474"/>
      <c r="J45" s="474"/>
      <c r="K45" s="474"/>
      <c r="L45" s="474"/>
      <c r="M45" s="474"/>
      <c r="N45" s="475"/>
      <c r="O45" s="71">
        <f t="shared" si="0"/>
        <v>32</v>
      </c>
      <c r="P45" s="97" t="s">
        <v>135</v>
      </c>
      <c r="Q45" s="108">
        <f>HLOOKUP($Q$38,$B$14:$M$47,26,FALSE)</f>
        <v>0.29019766034691408</v>
      </c>
      <c r="R45" s="94"/>
      <c r="S45" s="77"/>
      <c r="T45" s="77"/>
      <c r="U45" s="77"/>
      <c r="V45" s="77"/>
      <c r="W45" s="77"/>
      <c r="X45" s="77"/>
      <c r="Y45" s="77"/>
      <c r="Z45" s="77"/>
      <c r="AA45" s="77"/>
      <c r="AB45" s="77"/>
      <c r="AC45" s="77"/>
      <c r="AD45" s="77"/>
      <c r="AE45" s="77"/>
      <c r="AF45" s="77"/>
    </row>
    <row r="46" spans="1:32" s="64" customFormat="1" ht="12" x14ac:dyDescent="0.2">
      <c r="A46" s="90" t="s">
        <v>138</v>
      </c>
      <c r="B46" s="91">
        <v>1</v>
      </c>
      <c r="C46" s="91">
        <v>1</v>
      </c>
      <c r="D46" s="91">
        <v>1</v>
      </c>
      <c r="E46" s="91">
        <v>1</v>
      </c>
      <c r="F46" s="91">
        <v>1</v>
      </c>
      <c r="G46" s="91">
        <v>1</v>
      </c>
      <c r="H46" s="91">
        <v>1</v>
      </c>
      <c r="I46" s="91">
        <v>1</v>
      </c>
      <c r="J46" s="91">
        <v>1</v>
      </c>
      <c r="K46" s="91">
        <v>1</v>
      </c>
      <c r="L46" s="91">
        <v>1</v>
      </c>
      <c r="M46" s="91">
        <v>1</v>
      </c>
      <c r="N46" s="91">
        <v>1</v>
      </c>
      <c r="O46" s="71">
        <f t="shared" si="0"/>
        <v>33</v>
      </c>
      <c r="P46" s="110" t="s">
        <v>187</v>
      </c>
      <c r="Q46" s="111">
        <f>ROUND(IF(ISERROR(IF((Q44/Q42)*Q45&lt;0,0,(Q44/Q42)*Q45)),0,IF((Q44/Q42)*Q45&lt;0,0,(Q44/Q42)*Q45)),2)</f>
        <v>0</v>
      </c>
      <c r="R46" s="94"/>
      <c r="S46" s="77"/>
      <c r="T46" s="77"/>
      <c r="U46" s="77"/>
      <c r="V46" s="77"/>
      <c r="W46" s="77"/>
      <c r="X46" s="77"/>
      <c r="Y46" s="77"/>
      <c r="Z46" s="77"/>
      <c r="AA46" s="77"/>
      <c r="AB46" s="77"/>
      <c r="AC46" s="77"/>
      <c r="AD46" s="77"/>
      <c r="AE46" s="77"/>
      <c r="AF46" s="77"/>
    </row>
    <row r="47" spans="1:32" s="64" customFormat="1" ht="12" x14ac:dyDescent="0.2">
      <c r="A47" s="90" t="s">
        <v>140</v>
      </c>
      <c r="B47" s="91">
        <v>0.7</v>
      </c>
      <c r="C47" s="91">
        <v>0.7</v>
      </c>
      <c r="D47" s="91">
        <v>0.7</v>
      </c>
      <c r="E47" s="91">
        <v>0.7</v>
      </c>
      <c r="F47" s="91">
        <v>0.7</v>
      </c>
      <c r="G47" s="91">
        <v>0.7</v>
      </c>
      <c r="H47" s="91">
        <v>0.7</v>
      </c>
      <c r="I47" s="91">
        <v>0.7</v>
      </c>
      <c r="J47" s="91">
        <v>0.7</v>
      </c>
      <c r="K47" s="91">
        <v>0.7</v>
      </c>
      <c r="L47" s="91">
        <v>0.7</v>
      </c>
      <c r="M47" s="91">
        <v>0.7</v>
      </c>
      <c r="N47" s="91">
        <v>0.7</v>
      </c>
      <c r="O47" s="71">
        <f t="shared" si="0"/>
        <v>34</v>
      </c>
      <c r="P47" s="112" t="s">
        <v>139</v>
      </c>
      <c r="Q47" s="113">
        <f>Q45-Q46</f>
        <v>0.29019766034691408</v>
      </c>
      <c r="R47" s="94"/>
      <c r="S47" s="77"/>
      <c r="T47" s="77"/>
      <c r="U47" s="77"/>
      <c r="V47" s="77"/>
      <c r="W47" s="77"/>
      <c r="X47" s="77"/>
      <c r="Y47" s="77"/>
      <c r="Z47" s="77"/>
      <c r="AA47" s="77"/>
      <c r="AB47" s="77"/>
      <c r="AC47" s="77"/>
      <c r="AD47" s="77"/>
      <c r="AE47" s="77"/>
      <c r="AF47" s="77"/>
    </row>
    <row r="48" spans="1:32" s="64" customFormat="1" ht="12.75" x14ac:dyDescent="0.2">
      <c r="A48" s="101" t="s">
        <v>141</v>
      </c>
      <c r="B48" s="102"/>
      <c r="C48" s="103"/>
      <c r="D48" s="103"/>
      <c r="E48" s="103"/>
      <c r="F48" s="103"/>
      <c r="G48" s="103"/>
      <c r="H48" s="103"/>
      <c r="I48" s="103"/>
      <c r="J48" s="103"/>
      <c r="K48" s="103"/>
      <c r="L48" s="103"/>
      <c r="M48" s="103"/>
      <c r="N48" s="282"/>
      <c r="O48" s="71"/>
      <c r="Q48" s="77"/>
      <c r="R48" s="77"/>
      <c r="S48" s="77"/>
      <c r="T48" s="77"/>
      <c r="U48" s="77"/>
      <c r="V48" s="77"/>
      <c r="W48" s="77"/>
      <c r="X48" s="77"/>
      <c r="Y48" s="77"/>
      <c r="Z48" s="77"/>
      <c r="AA48" s="77"/>
      <c r="AB48" s="77"/>
      <c r="AC48" s="77"/>
      <c r="AD48" s="77"/>
      <c r="AE48" s="77"/>
      <c r="AF48" s="77"/>
    </row>
    <row r="49" spans="1:32" s="64" customFormat="1" ht="12" x14ac:dyDescent="0.2">
      <c r="A49" s="106" t="s">
        <v>142</v>
      </c>
      <c r="B49" s="107">
        <f t="shared" ref="B49:N49" si="19">$B$75</f>
        <v>6</v>
      </c>
      <c r="C49" s="107">
        <f t="shared" si="19"/>
        <v>6</v>
      </c>
      <c r="D49" s="107">
        <f t="shared" si="19"/>
        <v>6</v>
      </c>
      <c r="E49" s="107">
        <f t="shared" si="19"/>
        <v>6</v>
      </c>
      <c r="F49" s="107">
        <f t="shared" si="19"/>
        <v>6</v>
      </c>
      <c r="G49" s="107">
        <f t="shared" si="19"/>
        <v>6</v>
      </c>
      <c r="H49" s="107">
        <f t="shared" si="19"/>
        <v>6</v>
      </c>
      <c r="I49" s="107">
        <f t="shared" si="19"/>
        <v>6</v>
      </c>
      <c r="J49" s="107">
        <f t="shared" si="19"/>
        <v>6</v>
      </c>
      <c r="K49" s="107">
        <f t="shared" si="19"/>
        <v>6</v>
      </c>
      <c r="L49" s="107">
        <f t="shared" si="19"/>
        <v>6</v>
      </c>
      <c r="M49" s="107">
        <f t="shared" si="19"/>
        <v>6</v>
      </c>
      <c r="N49" s="107">
        <f t="shared" si="19"/>
        <v>6</v>
      </c>
      <c r="Q49" s="77"/>
      <c r="R49" s="77"/>
      <c r="S49" s="77"/>
      <c r="T49" s="77"/>
      <c r="U49" s="77"/>
      <c r="V49" s="77"/>
      <c r="W49" s="77"/>
      <c r="X49" s="77"/>
      <c r="Y49" s="77"/>
      <c r="Z49" s="77"/>
      <c r="AA49" s="77"/>
      <c r="AB49" s="77"/>
      <c r="AC49" s="77"/>
      <c r="AD49" s="77"/>
      <c r="AE49" s="77"/>
      <c r="AF49" s="77"/>
    </row>
    <row r="50" spans="1:32" ht="12" x14ac:dyDescent="0.2">
      <c r="A50" s="106" t="s">
        <v>143</v>
      </c>
      <c r="B50" s="109">
        <f>B49</f>
        <v>6</v>
      </c>
      <c r="C50" s="109">
        <f t="shared" ref="C50:M50" si="20">C49</f>
        <v>6</v>
      </c>
      <c r="D50" s="109">
        <f t="shared" si="20"/>
        <v>6</v>
      </c>
      <c r="E50" s="109">
        <f t="shared" si="20"/>
        <v>6</v>
      </c>
      <c r="F50" s="109">
        <f t="shared" si="20"/>
        <v>6</v>
      </c>
      <c r="G50" s="109">
        <f t="shared" si="20"/>
        <v>6</v>
      </c>
      <c r="H50" s="109">
        <f t="shared" si="20"/>
        <v>6</v>
      </c>
      <c r="I50" s="109">
        <f t="shared" si="20"/>
        <v>6</v>
      </c>
      <c r="J50" s="109">
        <f t="shared" si="20"/>
        <v>6</v>
      </c>
      <c r="K50" s="109">
        <f t="shared" si="20"/>
        <v>6</v>
      </c>
      <c r="L50" s="109">
        <f t="shared" si="20"/>
        <v>6</v>
      </c>
      <c r="M50" s="109">
        <f t="shared" si="20"/>
        <v>6</v>
      </c>
      <c r="N50" s="109">
        <f>N49</f>
        <v>6</v>
      </c>
    </row>
    <row r="51" spans="1:32" ht="12" x14ac:dyDescent="0.2">
      <c r="A51" s="211" t="s">
        <v>144</v>
      </c>
      <c r="B51" s="109">
        <f t="shared" ref="B51:N51" si="21">$B$77</f>
        <v>6</v>
      </c>
      <c r="C51" s="109">
        <f t="shared" si="21"/>
        <v>6</v>
      </c>
      <c r="D51" s="109">
        <f t="shared" si="21"/>
        <v>6</v>
      </c>
      <c r="E51" s="109">
        <f t="shared" si="21"/>
        <v>6</v>
      </c>
      <c r="F51" s="109">
        <f t="shared" si="21"/>
        <v>6</v>
      </c>
      <c r="G51" s="109">
        <f t="shared" si="21"/>
        <v>6</v>
      </c>
      <c r="H51" s="109">
        <f t="shared" si="21"/>
        <v>6</v>
      </c>
      <c r="I51" s="109">
        <f t="shared" si="21"/>
        <v>6</v>
      </c>
      <c r="J51" s="109">
        <f t="shared" si="21"/>
        <v>6</v>
      </c>
      <c r="K51" s="109">
        <f t="shared" si="21"/>
        <v>6</v>
      </c>
      <c r="L51" s="109">
        <f t="shared" si="21"/>
        <v>6</v>
      </c>
      <c r="M51" s="109">
        <f t="shared" si="21"/>
        <v>6</v>
      </c>
      <c r="N51" s="109">
        <f t="shared" si="21"/>
        <v>6</v>
      </c>
    </row>
    <row r="52" spans="1:32" ht="12" x14ac:dyDescent="0.2">
      <c r="A52" s="211" t="s">
        <v>145</v>
      </c>
      <c r="B52" s="109">
        <f>B51</f>
        <v>6</v>
      </c>
      <c r="C52" s="109">
        <f t="shared" ref="C52:M52" si="22">C51</f>
        <v>6</v>
      </c>
      <c r="D52" s="109">
        <f t="shared" si="22"/>
        <v>6</v>
      </c>
      <c r="E52" s="109">
        <f t="shared" si="22"/>
        <v>6</v>
      </c>
      <c r="F52" s="109">
        <f t="shared" si="22"/>
        <v>6</v>
      </c>
      <c r="G52" s="109">
        <f t="shared" si="22"/>
        <v>6</v>
      </c>
      <c r="H52" s="109">
        <f t="shared" si="22"/>
        <v>6</v>
      </c>
      <c r="I52" s="109">
        <f t="shared" si="22"/>
        <v>6</v>
      </c>
      <c r="J52" s="109">
        <f t="shared" si="22"/>
        <v>6</v>
      </c>
      <c r="K52" s="109">
        <f t="shared" si="22"/>
        <v>6</v>
      </c>
      <c r="L52" s="109">
        <f t="shared" si="22"/>
        <v>6</v>
      </c>
      <c r="M52" s="109">
        <f t="shared" si="22"/>
        <v>6</v>
      </c>
      <c r="N52" s="109">
        <f>N51</f>
        <v>6</v>
      </c>
    </row>
    <row r="53" spans="1:32" ht="12" x14ac:dyDescent="0.2">
      <c r="A53" s="17" t="s">
        <v>188</v>
      </c>
      <c r="B53" s="114">
        <f t="shared" ref="B53:N53" si="23">ROUND(IF(B$13="Deploy",MAX((B$66/100)*$B79,$B79),(B$66/100)*$B79),0)</f>
        <v>3</v>
      </c>
      <c r="C53" s="114">
        <f t="shared" si="23"/>
        <v>3</v>
      </c>
      <c r="D53" s="114">
        <f t="shared" si="23"/>
        <v>3</v>
      </c>
      <c r="E53" s="114">
        <f t="shared" si="23"/>
        <v>3</v>
      </c>
      <c r="F53" s="114">
        <f t="shared" si="23"/>
        <v>2</v>
      </c>
      <c r="G53" s="114">
        <f t="shared" si="23"/>
        <v>3</v>
      </c>
      <c r="H53" s="114">
        <f t="shared" si="23"/>
        <v>3</v>
      </c>
      <c r="I53" s="114">
        <f t="shared" si="23"/>
        <v>3</v>
      </c>
      <c r="J53" s="114">
        <f t="shared" si="23"/>
        <v>3</v>
      </c>
      <c r="K53" s="114">
        <f t="shared" si="23"/>
        <v>3</v>
      </c>
      <c r="L53" s="114">
        <f t="shared" si="23"/>
        <v>2</v>
      </c>
      <c r="M53" s="114">
        <f t="shared" si="23"/>
        <v>2</v>
      </c>
      <c r="N53" s="114">
        <f t="shared" si="23"/>
        <v>1</v>
      </c>
    </row>
    <row r="54" spans="1:32" ht="12" x14ac:dyDescent="0.2">
      <c r="A54" s="17" t="s">
        <v>189</v>
      </c>
      <c r="B54" s="114">
        <f t="shared" ref="B54:N54" si="24">ROUND(IF(B$13="Deploy",MAX((B$66/100)*$B80,$B80),(B$66/100)*$B80),0)</f>
        <v>6</v>
      </c>
      <c r="C54" s="114">
        <f t="shared" si="24"/>
        <v>6</v>
      </c>
      <c r="D54" s="114">
        <f t="shared" si="24"/>
        <v>6</v>
      </c>
      <c r="E54" s="114">
        <f t="shared" si="24"/>
        <v>6</v>
      </c>
      <c r="F54" s="114">
        <f t="shared" si="24"/>
        <v>5</v>
      </c>
      <c r="G54" s="114">
        <f t="shared" si="24"/>
        <v>6</v>
      </c>
      <c r="H54" s="114">
        <f t="shared" si="24"/>
        <v>6</v>
      </c>
      <c r="I54" s="114">
        <f t="shared" si="24"/>
        <v>6</v>
      </c>
      <c r="J54" s="114">
        <f t="shared" si="24"/>
        <v>6</v>
      </c>
      <c r="K54" s="114">
        <f t="shared" si="24"/>
        <v>6</v>
      </c>
      <c r="L54" s="114">
        <f t="shared" si="24"/>
        <v>5</v>
      </c>
      <c r="M54" s="114">
        <f t="shared" si="24"/>
        <v>5</v>
      </c>
      <c r="N54" s="114">
        <f t="shared" si="24"/>
        <v>2</v>
      </c>
    </row>
    <row r="55" spans="1:32" ht="12" x14ac:dyDescent="0.2">
      <c r="A55" s="17" t="s">
        <v>190</v>
      </c>
      <c r="B55" s="114">
        <f t="shared" ref="B55:N55" si="25">ROUND(IF(B$13="Deploy",MAX((B$66/100)*$B81,$B81),(B$66/100)*$B81),0)</f>
        <v>3</v>
      </c>
      <c r="C55" s="114">
        <f t="shared" si="25"/>
        <v>3</v>
      </c>
      <c r="D55" s="114">
        <f t="shared" si="25"/>
        <v>3</v>
      </c>
      <c r="E55" s="114">
        <f t="shared" si="25"/>
        <v>3</v>
      </c>
      <c r="F55" s="114">
        <f t="shared" si="25"/>
        <v>2</v>
      </c>
      <c r="G55" s="114">
        <f t="shared" si="25"/>
        <v>3</v>
      </c>
      <c r="H55" s="114">
        <f t="shared" si="25"/>
        <v>3</v>
      </c>
      <c r="I55" s="114">
        <f t="shared" si="25"/>
        <v>3</v>
      </c>
      <c r="J55" s="114">
        <f t="shared" si="25"/>
        <v>3</v>
      </c>
      <c r="K55" s="114">
        <f t="shared" si="25"/>
        <v>3</v>
      </c>
      <c r="L55" s="114">
        <f t="shared" si="25"/>
        <v>2</v>
      </c>
      <c r="M55" s="114">
        <f t="shared" si="25"/>
        <v>2</v>
      </c>
      <c r="N55" s="114">
        <f t="shared" si="25"/>
        <v>1</v>
      </c>
    </row>
    <row r="56" spans="1:32" ht="12" x14ac:dyDescent="0.2">
      <c r="A56" s="17" t="s">
        <v>191</v>
      </c>
      <c r="B56" s="114">
        <f t="shared" ref="B56:N56" si="26">ROUND(IF(B$13="Deploy",MAX((B$66/100)*$B82,$B82),(B$66/100)*$B82),0)</f>
        <v>6</v>
      </c>
      <c r="C56" s="114">
        <f t="shared" si="26"/>
        <v>6</v>
      </c>
      <c r="D56" s="114">
        <f t="shared" si="26"/>
        <v>6</v>
      </c>
      <c r="E56" s="114">
        <f t="shared" si="26"/>
        <v>6</v>
      </c>
      <c r="F56" s="114">
        <f t="shared" si="26"/>
        <v>5</v>
      </c>
      <c r="G56" s="114">
        <f t="shared" si="26"/>
        <v>6</v>
      </c>
      <c r="H56" s="114">
        <f t="shared" si="26"/>
        <v>6</v>
      </c>
      <c r="I56" s="114">
        <f t="shared" si="26"/>
        <v>6</v>
      </c>
      <c r="J56" s="114">
        <f t="shared" si="26"/>
        <v>6</v>
      </c>
      <c r="K56" s="114">
        <f t="shared" si="26"/>
        <v>6</v>
      </c>
      <c r="L56" s="114">
        <f t="shared" si="26"/>
        <v>5</v>
      </c>
      <c r="M56" s="114">
        <f t="shared" si="26"/>
        <v>5</v>
      </c>
      <c r="N56" s="114">
        <f t="shared" si="26"/>
        <v>2</v>
      </c>
    </row>
    <row r="57" spans="1:32" ht="12" x14ac:dyDescent="0.2">
      <c r="A57" s="106" t="s">
        <v>164</v>
      </c>
      <c r="B57" s="114">
        <f t="shared" ref="B57:N57" si="27">ROUNDUP(IF(B$13="Deploy",MAX((B$66/100)*$B83,$B83),(B$66/100)*$B83),0)</f>
        <v>3</v>
      </c>
      <c r="C57" s="114">
        <f t="shared" si="27"/>
        <v>3</v>
      </c>
      <c r="D57" s="114">
        <f t="shared" si="27"/>
        <v>3</v>
      </c>
      <c r="E57" s="114">
        <f t="shared" si="27"/>
        <v>3</v>
      </c>
      <c r="F57" s="114">
        <f t="shared" si="27"/>
        <v>3</v>
      </c>
      <c r="G57" s="114">
        <f t="shared" si="27"/>
        <v>3</v>
      </c>
      <c r="H57" s="114">
        <f t="shared" si="27"/>
        <v>3</v>
      </c>
      <c r="I57" s="114">
        <f t="shared" si="27"/>
        <v>3</v>
      </c>
      <c r="J57" s="114">
        <f t="shared" si="27"/>
        <v>3</v>
      </c>
      <c r="K57" s="114">
        <f t="shared" si="27"/>
        <v>3</v>
      </c>
      <c r="L57" s="114">
        <f t="shared" si="27"/>
        <v>3</v>
      </c>
      <c r="M57" s="114">
        <f t="shared" si="27"/>
        <v>3</v>
      </c>
      <c r="N57" s="114">
        <f t="shared" si="27"/>
        <v>2</v>
      </c>
    </row>
    <row r="61" spans="1:32" ht="12" x14ac:dyDescent="0.2">
      <c r="A61" s="115"/>
      <c r="B61" s="57"/>
      <c r="C61" s="64"/>
      <c r="D61" s="116"/>
      <c r="E61" s="116"/>
      <c r="F61" s="116"/>
      <c r="G61" s="116"/>
      <c r="H61" s="116"/>
      <c r="I61" s="116"/>
      <c r="J61" s="116"/>
      <c r="K61" s="116"/>
      <c r="L61" s="116"/>
      <c r="M61" s="116"/>
      <c r="P61" s="77"/>
    </row>
    <row r="62" spans="1:32" ht="12.75" thickBot="1" x14ac:dyDescent="0.25">
      <c r="A62" s="117"/>
      <c r="B62" s="118"/>
      <c r="C62" s="116"/>
      <c r="D62" s="116"/>
      <c r="E62" s="116"/>
      <c r="F62" s="116"/>
      <c r="G62" s="116"/>
      <c r="H62" s="116"/>
      <c r="I62" s="116"/>
      <c r="J62" s="116"/>
      <c r="K62" s="116"/>
      <c r="L62" s="116"/>
      <c r="M62" s="116"/>
      <c r="P62" s="77"/>
    </row>
    <row r="63" spans="1:32" ht="13.5" thickBot="1" x14ac:dyDescent="0.25">
      <c r="A63" s="581" t="s">
        <v>149</v>
      </c>
      <c r="B63" s="582"/>
      <c r="C63" s="582"/>
      <c r="D63" s="582"/>
      <c r="E63" s="582"/>
      <c r="F63" s="582"/>
      <c r="G63" s="582"/>
      <c r="H63" s="582"/>
      <c r="I63" s="582"/>
      <c r="J63" s="582"/>
      <c r="K63" s="582"/>
      <c r="L63" s="582"/>
      <c r="M63" s="582"/>
      <c r="N63" s="583"/>
      <c r="O63" s="119"/>
      <c r="P63" s="77"/>
    </row>
    <row r="64" spans="1:32" ht="12" x14ac:dyDescent="0.2">
      <c r="A64" s="120" t="s">
        <v>150</v>
      </c>
      <c r="B64" s="121">
        <f t="shared" ref="B64:M64" si="28">MIN(100,B66+$B$70)</f>
        <v>100</v>
      </c>
      <c r="C64" s="121">
        <f t="shared" si="28"/>
        <v>100</v>
      </c>
      <c r="D64" s="121">
        <f t="shared" si="28"/>
        <v>99.65352133915421</v>
      </c>
      <c r="E64" s="121">
        <f t="shared" si="28"/>
        <v>99.65352133915421</v>
      </c>
      <c r="F64" s="121">
        <f t="shared" si="28"/>
        <v>88.65352133915421</v>
      </c>
      <c r="G64" s="121">
        <f t="shared" si="28"/>
        <v>100</v>
      </c>
      <c r="H64" s="121">
        <f t="shared" si="28"/>
        <v>100</v>
      </c>
      <c r="I64" s="121">
        <f t="shared" si="28"/>
        <v>100</v>
      </c>
      <c r="J64" s="121">
        <f t="shared" si="28"/>
        <v>100</v>
      </c>
      <c r="K64" s="121">
        <f t="shared" si="28"/>
        <v>99.65352133915421</v>
      </c>
      <c r="L64" s="121">
        <f t="shared" si="28"/>
        <v>88.65352133915421</v>
      </c>
      <c r="M64" s="122">
        <f t="shared" si="28"/>
        <v>87.65352133915421</v>
      </c>
      <c r="N64" s="123">
        <v>60.803436023597357</v>
      </c>
      <c r="O64" s="94"/>
      <c r="P64" s="77"/>
    </row>
    <row r="65" spans="1:16" ht="12" x14ac:dyDescent="0.2">
      <c r="A65" s="124" t="s">
        <v>151</v>
      </c>
      <c r="B65" s="125">
        <f t="shared" ref="B65:M65" si="29">MIN(100,B66+$B$71)</f>
        <v>100</v>
      </c>
      <c r="C65" s="125">
        <f t="shared" si="29"/>
        <v>100</v>
      </c>
      <c r="D65" s="125">
        <f t="shared" si="29"/>
        <v>95.826760669577112</v>
      </c>
      <c r="E65" s="125">
        <f t="shared" si="29"/>
        <v>95.826760669577112</v>
      </c>
      <c r="F65" s="125">
        <f t="shared" si="29"/>
        <v>84.826760669577112</v>
      </c>
      <c r="G65" s="125">
        <f t="shared" si="29"/>
        <v>100</v>
      </c>
      <c r="H65" s="125">
        <f t="shared" si="29"/>
        <v>100</v>
      </c>
      <c r="I65" s="125">
        <f t="shared" si="29"/>
        <v>100</v>
      </c>
      <c r="J65" s="125">
        <f t="shared" si="29"/>
        <v>96.826760669577112</v>
      </c>
      <c r="K65" s="125">
        <f t="shared" si="29"/>
        <v>95.826760669577112</v>
      </c>
      <c r="L65" s="125">
        <f t="shared" si="29"/>
        <v>84.826760669577112</v>
      </c>
      <c r="M65" s="126">
        <f t="shared" si="29"/>
        <v>83.826760669577112</v>
      </c>
      <c r="N65" s="127">
        <v>48.901718011798678</v>
      </c>
      <c r="O65" s="77"/>
      <c r="P65" s="77"/>
    </row>
    <row r="66" spans="1:16" ht="12" x14ac:dyDescent="0.2">
      <c r="A66" s="254" t="s">
        <v>152</v>
      </c>
      <c r="B66" s="148">
        <v>100</v>
      </c>
      <c r="C66" s="148">
        <v>100</v>
      </c>
      <c r="D66" s="148">
        <v>92</v>
      </c>
      <c r="E66" s="148">
        <v>92</v>
      </c>
      <c r="F66" s="148">
        <v>81</v>
      </c>
      <c r="G66" s="148">
        <v>100</v>
      </c>
      <c r="H66" s="148">
        <v>100</v>
      </c>
      <c r="I66" s="148">
        <v>100</v>
      </c>
      <c r="J66" s="148">
        <v>93</v>
      </c>
      <c r="K66" s="148">
        <v>92</v>
      </c>
      <c r="L66" s="148">
        <v>81</v>
      </c>
      <c r="M66" s="149">
        <v>80</v>
      </c>
      <c r="N66" s="150">
        <v>37</v>
      </c>
      <c r="O66" s="77"/>
      <c r="P66" s="77"/>
    </row>
    <row r="67" spans="1:16" ht="12" x14ac:dyDescent="0.2">
      <c r="A67" s="124" t="s">
        <v>153</v>
      </c>
      <c r="B67" s="125">
        <f t="shared" ref="B67:M67" si="30">MIN(80,IF(B13="Deploy",80,MAX(0,B66-$B$71)))</f>
        <v>80</v>
      </c>
      <c r="C67" s="125">
        <f t="shared" si="30"/>
        <v>80</v>
      </c>
      <c r="D67" s="125">
        <f t="shared" si="30"/>
        <v>80</v>
      </c>
      <c r="E67" s="125">
        <f t="shared" si="30"/>
        <v>80</v>
      </c>
      <c r="F67" s="125">
        <f t="shared" si="30"/>
        <v>77.173239330422888</v>
      </c>
      <c r="G67" s="125">
        <f t="shared" si="30"/>
        <v>80</v>
      </c>
      <c r="H67" s="125">
        <f t="shared" si="30"/>
        <v>80</v>
      </c>
      <c r="I67" s="125">
        <f t="shared" si="30"/>
        <v>80</v>
      </c>
      <c r="J67" s="125">
        <f t="shared" si="30"/>
        <v>80</v>
      </c>
      <c r="K67" s="125">
        <f t="shared" si="30"/>
        <v>80</v>
      </c>
      <c r="L67" s="125">
        <f t="shared" si="30"/>
        <v>77.173239330422888</v>
      </c>
      <c r="M67" s="126">
        <f t="shared" si="30"/>
        <v>76.173239330422888</v>
      </c>
      <c r="N67" s="127">
        <v>25.098281988201322</v>
      </c>
      <c r="O67" s="77"/>
      <c r="P67" s="77"/>
    </row>
    <row r="68" spans="1:16" ht="12.75" thickBot="1" x14ac:dyDescent="0.25">
      <c r="A68" s="128" t="s">
        <v>154</v>
      </c>
      <c r="B68" s="129">
        <f t="shared" ref="B68:M68" si="31">MIN(60,IF(B13="Deploy",60,MAX(0,B66-$B$70)))</f>
        <v>60</v>
      </c>
      <c r="C68" s="129">
        <f t="shared" si="31"/>
        <v>60</v>
      </c>
      <c r="D68" s="129">
        <f t="shared" si="31"/>
        <v>60</v>
      </c>
      <c r="E68" s="129">
        <f t="shared" si="31"/>
        <v>60</v>
      </c>
      <c r="F68" s="129">
        <f t="shared" si="31"/>
        <v>60</v>
      </c>
      <c r="G68" s="129">
        <f t="shared" si="31"/>
        <v>60</v>
      </c>
      <c r="H68" s="129">
        <f t="shared" si="31"/>
        <v>60</v>
      </c>
      <c r="I68" s="129">
        <f t="shared" si="31"/>
        <v>60</v>
      </c>
      <c r="J68" s="129">
        <f t="shared" si="31"/>
        <v>60</v>
      </c>
      <c r="K68" s="129">
        <f t="shared" si="31"/>
        <v>60</v>
      </c>
      <c r="L68" s="129">
        <f t="shared" si="31"/>
        <v>60</v>
      </c>
      <c r="M68" s="130">
        <f t="shared" si="31"/>
        <v>60</v>
      </c>
      <c r="N68" s="131">
        <v>13.196563976402647</v>
      </c>
      <c r="O68" s="77"/>
      <c r="P68" s="77"/>
    </row>
    <row r="69" spans="1:16" ht="12.75" thickBot="1" x14ac:dyDescent="0.25">
      <c r="A69" s="326" t="s">
        <v>155</v>
      </c>
      <c r="B69" s="327">
        <v>100</v>
      </c>
      <c r="C69" s="327">
        <v>100</v>
      </c>
      <c r="D69" s="327">
        <v>92</v>
      </c>
      <c r="E69" s="327">
        <v>92</v>
      </c>
      <c r="F69" s="327">
        <v>81</v>
      </c>
      <c r="G69" s="327">
        <v>100</v>
      </c>
      <c r="H69" s="327">
        <v>100</v>
      </c>
      <c r="I69" s="327">
        <v>100</v>
      </c>
      <c r="J69" s="327">
        <v>93</v>
      </c>
      <c r="K69" s="327">
        <v>92</v>
      </c>
      <c r="L69" s="327">
        <v>81</v>
      </c>
      <c r="M69" s="328">
        <v>80</v>
      </c>
      <c r="N69" s="329">
        <v>37</v>
      </c>
      <c r="O69" s="77"/>
      <c r="P69" s="77"/>
    </row>
    <row r="70" spans="1:16" x14ac:dyDescent="0.2">
      <c r="A70" s="338" t="s">
        <v>156</v>
      </c>
      <c r="B70" s="339">
        <f t="array" ref="B70">SQRT(SUM(POWER(AVERAGE(B66:M66)-(B66:M66),2))/COUNT(B66:M66))*1</f>
        <v>7.6535213391542127</v>
      </c>
      <c r="O70" s="77"/>
      <c r="P70" s="77"/>
    </row>
    <row r="71" spans="1:16" ht="12" thickBot="1" x14ac:dyDescent="0.25">
      <c r="A71" s="132" t="s">
        <v>157</v>
      </c>
      <c r="B71" s="133">
        <f>B70/2</f>
        <v>3.8267606695771064</v>
      </c>
      <c r="O71" s="77"/>
      <c r="P71" s="77"/>
    </row>
    <row r="72" spans="1:16" ht="12" thickBot="1" x14ac:dyDescent="0.25">
      <c r="O72" s="77"/>
      <c r="P72" s="77"/>
    </row>
    <row r="73" spans="1:16" ht="13.5" thickBot="1" x14ac:dyDescent="0.25">
      <c r="A73" s="577" t="s">
        <v>158</v>
      </c>
      <c r="B73" s="578"/>
      <c r="O73" s="77"/>
      <c r="P73" s="77"/>
    </row>
    <row r="74" spans="1:16" ht="12.75" thickBot="1" x14ac:dyDescent="0.25">
      <c r="A74" s="579" t="s">
        <v>159</v>
      </c>
      <c r="B74" s="580"/>
      <c r="O74" s="77"/>
      <c r="P74" s="77"/>
    </row>
    <row r="75" spans="1:16" ht="12.75" thickTop="1" x14ac:dyDescent="0.2">
      <c r="A75" s="134" t="s">
        <v>142</v>
      </c>
      <c r="B75" s="135">
        <v>6</v>
      </c>
      <c r="F75" s="136"/>
      <c r="G75" s="137"/>
      <c r="H75" s="137"/>
      <c r="O75" s="77"/>
      <c r="P75" s="77"/>
    </row>
    <row r="76" spans="1:16" ht="12" x14ac:dyDescent="0.2">
      <c r="A76" s="138" t="s">
        <v>143</v>
      </c>
      <c r="B76" s="139">
        <v>6</v>
      </c>
      <c r="F76" s="136"/>
      <c r="G76" s="137"/>
      <c r="H76" s="137"/>
      <c r="O76" s="77"/>
      <c r="P76" s="77"/>
    </row>
    <row r="77" spans="1:16" ht="12" x14ac:dyDescent="0.2">
      <c r="A77" s="134" t="s">
        <v>144</v>
      </c>
      <c r="B77" s="135">
        <v>6</v>
      </c>
      <c r="F77" s="136"/>
      <c r="G77" s="137"/>
      <c r="H77" s="137"/>
      <c r="O77" s="77"/>
      <c r="P77" s="77"/>
    </row>
    <row r="78" spans="1:16" ht="12" x14ac:dyDescent="0.2">
      <c r="A78" s="138" t="s">
        <v>145</v>
      </c>
      <c r="B78" s="139">
        <v>6</v>
      </c>
      <c r="F78" s="136"/>
      <c r="G78" s="137"/>
      <c r="H78" s="137"/>
      <c r="O78" s="77"/>
      <c r="P78" s="77"/>
    </row>
    <row r="79" spans="1:16" ht="12" x14ac:dyDescent="0.2">
      <c r="A79" s="235" t="s">
        <v>160</v>
      </c>
      <c r="B79" s="140">
        <v>3</v>
      </c>
      <c r="F79" s="136"/>
      <c r="G79" s="137"/>
      <c r="H79" s="137"/>
      <c r="O79" s="77"/>
    </row>
    <row r="80" spans="1:16" ht="12" x14ac:dyDescent="0.2">
      <c r="A80" s="235" t="s">
        <v>161</v>
      </c>
      <c r="B80" s="140">
        <v>6</v>
      </c>
      <c r="F80" s="136"/>
      <c r="G80" s="137"/>
      <c r="H80" s="137"/>
      <c r="O80" s="77"/>
      <c r="P80" s="89"/>
    </row>
    <row r="81" spans="1:15" ht="12" x14ac:dyDescent="0.2">
      <c r="A81" s="235" t="s">
        <v>162</v>
      </c>
      <c r="B81" s="140">
        <v>3</v>
      </c>
      <c r="O81" s="77"/>
    </row>
    <row r="82" spans="1:15" ht="12" x14ac:dyDescent="0.2">
      <c r="A82" s="235" t="s">
        <v>163</v>
      </c>
      <c r="B82" s="140">
        <v>6</v>
      </c>
      <c r="O82" s="77"/>
    </row>
    <row r="83" spans="1:15" ht="12.75" thickBot="1" x14ac:dyDescent="0.25">
      <c r="A83" s="141" t="s">
        <v>164</v>
      </c>
      <c r="B83" s="142">
        <v>3</v>
      </c>
      <c r="F83" s="136"/>
      <c r="G83" s="137"/>
      <c r="H83" s="137"/>
      <c r="N83" s="119"/>
      <c r="O83" s="77"/>
    </row>
    <row r="84" spans="1:15" ht="12" thickBot="1" x14ac:dyDescent="0.25"/>
    <row r="85" spans="1:15" ht="13.5" thickBot="1" x14ac:dyDescent="0.25">
      <c r="A85" s="574" t="s">
        <v>165</v>
      </c>
      <c r="B85" s="575"/>
      <c r="C85" s="143"/>
      <c r="D85" s="143"/>
      <c r="E85" s="143"/>
      <c r="F85" s="143"/>
      <c r="G85" s="143"/>
      <c r="H85" s="143"/>
      <c r="I85" s="143"/>
      <c r="J85" s="143"/>
      <c r="K85" s="143"/>
      <c r="L85" s="143"/>
      <c r="M85" s="143"/>
      <c r="N85" s="143"/>
    </row>
    <row r="86" spans="1:15" ht="12" x14ac:dyDescent="0.2">
      <c r="A86" s="144" t="s">
        <v>166</v>
      </c>
      <c r="B86" s="145"/>
      <c r="C86" s="145"/>
      <c r="D86" s="145"/>
      <c r="E86" s="145"/>
      <c r="F86" s="145"/>
      <c r="G86" s="145"/>
      <c r="H86" s="145"/>
      <c r="I86" s="145"/>
      <c r="J86" s="145"/>
      <c r="K86" s="145"/>
      <c r="L86" s="145"/>
      <c r="M86" s="145"/>
      <c r="N86" s="145"/>
    </row>
    <row r="87" spans="1:15" ht="12.75" thickBot="1" x14ac:dyDescent="0.25">
      <c r="A87" s="146" t="s">
        <v>168</v>
      </c>
      <c r="B87" s="147" t="s">
        <v>167</v>
      </c>
      <c r="C87" s="147" t="s">
        <v>167</v>
      </c>
      <c r="D87" s="147"/>
      <c r="E87" s="147"/>
      <c r="F87" s="147"/>
      <c r="G87" s="147" t="s">
        <v>167</v>
      </c>
      <c r="H87" s="147" t="s">
        <v>167</v>
      </c>
      <c r="I87" s="147" t="s">
        <v>167</v>
      </c>
      <c r="J87" s="147"/>
      <c r="K87" s="147"/>
      <c r="L87" s="147"/>
      <c r="M87" s="147"/>
      <c r="N87" s="147"/>
    </row>
    <row r="88" spans="1:15" ht="12" thickBot="1" x14ac:dyDescent="0.25"/>
    <row r="89" spans="1:15" ht="12.75" x14ac:dyDescent="0.2">
      <c r="A89" s="284" t="s">
        <v>169</v>
      </c>
      <c r="B89" s="573" t="s">
        <v>170</v>
      </c>
      <c r="C89" s="573"/>
      <c r="D89" s="549" t="s">
        <v>171</v>
      </c>
      <c r="E89" s="549"/>
      <c r="F89" s="550" t="s">
        <v>172</v>
      </c>
      <c r="G89" s="551"/>
      <c r="I89" s="247" t="s">
        <v>37</v>
      </c>
    </row>
    <row r="90" spans="1:15" ht="12.75" x14ac:dyDescent="0.2">
      <c r="A90" s="285" t="s">
        <v>173</v>
      </c>
      <c r="B90" s="286"/>
      <c r="C90" s="286"/>
      <c r="D90" s="286"/>
      <c r="E90" s="286"/>
      <c r="F90" s="286"/>
      <c r="G90" s="287"/>
      <c r="I90" s="247" t="s">
        <v>174</v>
      </c>
    </row>
    <row r="91" spans="1:15" ht="12" x14ac:dyDescent="0.2">
      <c r="A91" s="288" t="s">
        <v>175</v>
      </c>
      <c r="B91" s="289">
        <v>2</v>
      </c>
      <c r="C91" s="289">
        <f>B91</f>
        <v>2</v>
      </c>
      <c r="D91" s="290">
        <f>C91-1</f>
        <v>1</v>
      </c>
      <c r="E91" s="290">
        <v>1</v>
      </c>
      <c r="F91" s="291">
        <f>E91-1</f>
        <v>0</v>
      </c>
      <c r="G91" s="292">
        <v>0</v>
      </c>
    </row>
    <row r="92" spans="1:15" ht="12" x14ac:dyDescent="0.2">
      <c r="A92" s="288" t="s">
        <v>176</v>
      </c>
      <c r="B92" s="289">
        <v>2</v>
      </c>
      <c r="C92" s="289">
        <v>2</v>
      </c>
      <c r="D92" s="290">
        <f>C92-1</f>
        <v>1</v>
      </c>
      <c r="E92" s="290">
        <v>1</v>
      </c>
      <c r="F92" s="291">
        <f>E92-1</f>
        <v>0</v>
      </c>
      <c r="G92" s="292">
        <v>0</v>
      </c>
    </row>
    <row r="93" spans="1:15" ht="12" x14ac:dyDescent="0.2">
      <c r="A93" s="285" t="s">
        <v>125</v>
      </c>
      <c r="B93" s="293"/>
      <c r="C93" s="294"/>
      <c r="D93" s="294"/>
      <c r="E93" s="294"/>
      <c r="F93" s="294"/>
      <c r="G93" s="295"/>
    </row>
    <row r="94" spans="1:15" ht="12" x14ac:dyDescent="0.2">
      <c r="A94" s="288" t="str">
        <f>A39</f>
        <v>Ready C-2A Full Spectrum Support Equipment (C)</v>
      </c>
      <c r="B94" s="289">
        <v>2</v>
      </c>
      <c r="C94" s="289">
        <v>2</v>
      </c>
      <c r="D94" s="290">
        <f t="shared" ref="D94:D99" si="32">C94-1</f>
        <v>1</v>
      </c>
      <c r="E94" s="290"/>
      <c r="F94" s="291"/>
      <c r="G94" s="292">
        <v>0</v>
      </c>
    </row>
    <row r="95" spans="1:15" ht="12" x14ac:dyDescent="0.2">
      <c r="A95" s="288" t="str">
        <f t="shared" ref="A95:A99" si="33">A40</f>
        <v>Ready C-2A Adv Navigation Mission Systems (D)</v>
      </c>
      <c r="B95" s="289">
        <v>2</v>
      </c>
      <c r="C95" s="289">
        <v>2</v>
      </c>
      <c r="D95" s="290">
        <f t="shared" si="32"/>
        <v>1</v>
      </c>
      <c r="E95" s="290">
        <v>1</v>
      </c>
      <c r="F95" s="291">
        <f>E95-1</f>
        <v>0</v>
      </c>
      <c r="G95" s="292">
        <v>0</v>
      </c>
    </row>
    <row r="96" spans="1:15" ht="12" x14ac:dyDescent="0.2">
      <c r="A96" s="288" t="str">
        <f t="shared" si="33"/>
        <v>Ready C-2A Adv Communication Systems (F)</v>
      </c>
      <c r="B96" s="289">
        <v>2</v>
      </c>
      <c r="C96" s="289">
        <v>2</v>
      </c>
      <c r="D96" s="290">
        <f t="shared" si="32"/>
        <v>1</v>
      </c>
      <c r="E96" s="290">
        <v>1</v>
      </c>
      <c r="F96" s="291">
        <f>E96-1</f>
        <v>0</v>
      </c>
      <c r="G96" s="292">
        <v>0</v>
      </c>
    </row>
    <row r="97" spans="1:7" ht="12" x14ac:dyDescent="0.2">
      <c r="A97" s="288" t="str">
        <f t="shared" si="33"/>
        <v>Ready C-2A Basic Support Mission Systems (J)</v>
      </c>
      <c r="B97" s="289">
        <v>2</v>
      </c>
      <c r="C97" s="289">
        <v>2</v>
      </c>
      <c r="D97" s="290">
        <f t="shared" si="32"/>
        <v>1</v>
      </c>
      <c r="E97" s="290">
        <v>1</v>
      </c>
      <c r="F97" s="291">
        <f>E97-1</f>
        <v>0</v>
      </c>
      <c r="G97" s="292">
        <v>0</v>
      </c>
    </row>
    <row r="98" spans="1:7" ht="12" x14ac:dyDescent="0.2">
      <c r="A98" s="288" t="str">
        <f t="shared" si="33"/>
        <v>Ready C-2A Shipboard Mission Systems (K)</v>
      </c>
      <c r="B98" s="289">
        <v>2</v>
      </c>
      <c r="C98" s="289">
        <v>2</v>
      </c>
      <c r="D98" s="290">
        <f t="shared" si="32"/>
        <v>1</v>
      </c>
      <c r="E98" s="290">
        <v>1</v>
      </c>
      <c r="F98" s="291">
        <f>E98-1</f>
        <v>0</v>
      </c>
      <c r="G98" s="292">
        <v>0</v>
      </c>
    </row>
    <row r="99" spans="1:7" ht="12" x14ac:dyDescent="0.2">
      <c r="A99" s="288" t="str">
        <f t="shared" si="33"/>
        <v>Ready C-2A IMC Flight Mission Systems (L)</v>
      </c>
      <c r="B99" s="289">
        <v>2</v>
      </c>
      <c r="C99" s="289">
        <v>2</v>
      </c>
      <c r="D99" s="290">
        <f t="shared" si="32"/>
        <v>1</v>
      </c>
      <c r="E99" s="290">
        <v>1</v>
      </c>
      <c r="F99" s="291">
        <f>E99-1</f>
        <v>0</v>
      </c>
      <c r="G99" s="292">
        <v>0</v>
      </c>
    </row>
    <row r="100" spans="1:7" ht="12" x14ac:dyDescent="0.2">
      <c r="A100" s="285" t="s">
        <v>136</v>
      </c>
      <c r="B100" s="293"/>
      <c r="C100" s="294"/>
      <c r="D100" s="294"/>
      <c r="E100" s="294"/>
      <c r="F100" s="294"/>
      <c r="G100" s="295"/>
    </row>
    <row r="101" spans="1:7" ht="12" x14ac:dyDescent="0.2">
      <c r="A101" s="288" t="str">
        <f>A46</f>
        <v>Assigned Extended Range Tanks</v>
      </c>
      <c r="B101" s="289">
        <v>2</v>
      </c>
      <c r="C101" s="289">
        <v>1</v>
      </c>
      <c r="D101" s="290"/>
      <c r="E101" s="290"/>
      <c r="F101" s="291"/>
      <c r="G101" s="292">
        <v>0</v>
      </c>
    </row>
    <row r="102" spans="1:7" ht="12.75" thickBot="1" x14ac:dyDescent="0.25">
      <c r="A102" s="296" t="str">
        <f>A47</f>
        <v>Ready Extended Range Tanks</v>
      </c>
      <c r="B102" s="297">
        <v>2</v>
      </c>
      <c r="C102" s="297">
        <v>1</v>
      </c>
      <c r="D102" s="298"/>
      <c r="E102" s="298"/>
      <c r="F102" s="299"/>
      <c r="G102" s="300">
        <v>0</v>
      </c>
    </row>
    <row r="103" spans="1:7" ht="12" customHeight="1" x14ac:dyDescent="0.2"/>
    <row r="104" spans="1:7" ht="12" customHeight="1" x14ac:dyDescent="0.2"/>
    <row r="105" spans="1:7" ht="12" customHeight="1" x14ac:dyDescent="0.2">
      <c r="A105" s="505" t="s">
        <v>177</v>
      </c>
      <c r="B105" s="77" t="s">
        <v>178</v>
      </c>
    </row>
    <row r="106" spans="1:7" ht="12" customHeight="1" x14ac:dyDescent="0.2">
      <c r="A106" s="516" t="s">
        <v>179</v>
      </c>
      <c r="B106" s="507">
        <f>HLOOKUP($B$105,'C-2A Mission System Summary'!$B$1:$F$12,2,FALSE)</f>
        <v>0.68016337232755131</v>
      </c>
    </row>
    <row r="107" spans="1:7" ht="12" customHeight="1" x14ac:dyDescent="0.2">
      <c r="A107" s="506" t="str">
        <f t="shared" ref="A107:A112" si="34">A39</f>
        <v>Ready C-2A Full Spectrum Support Equipment (C)</v>
      </c>
      <c r="B107" s="507">
        <f>HLOOKUP($B$105,'C-2A Mission System Summary'!$B$1:$F$12,3,FALSE)</f>
        <v>0.1813735377168213</v>
      </c>
    </row>
    <row r="108" spans="1:7" ht="12" customHeight="1" x14ac:dyDescent="0.2">
      <c r="A108" s="506" t="str">
        <f t="shared" si="34"/>
        <v>Ready C-2A Adv Navigation Mission Systems (D)</v>
      </c>
      <c r="B108" s="507">
        <f>HLOOKUP($B$105,'C-2A Mission System Summary'!$B$1:$F$12,4,FALSE)</f>
        <v>1</v>
      </c>
    </row>
    <row r="109" spans="1:7" ht="12" customHeight="1" x14ac:dyDescent="0.2">
      <c r="A109" s="506" t="str">
        <f t="shared" si="34"/>
        <v>Ready C-2A Adv Communication Systems (F)</v>
      </c>
      <c r="B109" s="507">
        <f>HLOOKUP($B$105,'C-2A Mission System Summary'!$B$1:$F$12,5,FALSE)</f>
        <v>0.1813735377168213</v>
      </c>
    </row>
    <row r="110" spans="1:7" ht="12" customHeight="1" x14ac:dyDescent="0.2">
      <c r="A110" s="506" t="str">
        <f t="shared" si="34"/>
        <v>Ready C-2A Basic Support Mission Systems (J)</v>
      </c>
      <c r="B110" s="507">
        <f>HLOOKUP($B$105,'C-2A Mission System Summary'!$B$1:$F$12,6,FALSE)</f>
        <v>1</v>
      </c>
    </row>
    <row r="111" spans="1:7" ht="12" customHeight="1" x14ac:dyDescent="0.2">
      <c r="A111" s="506" t="str">
        <f t="shared" si="34"/>
        <v>Ready C-2A Shipboard Mission Systems (K)</v>
      </c>
      <c r="B111" s="507">
        <f>HLOOKUP($B$105,'C-2A Mission System Summary'!$B$1:$F$12,7,FALSE)</f>
        <v>0.85911657926583296</v>
      </c>
    </row>
    <row r="112" spans="1:7" ht="12" customHeight="1" x14ac:dyDescent="0.2">
      <c r="A112" s="506" t="str">
        <f t="shared" si="34"/>
        <v>Ready C-2A IMC Flight Mission Systems (L)</v>
      </c>
      <c r="B112" s="507">
        <f>HLOOKUP($B$105,'C-2A Mission System Summary'!$B$1:$F$12,8,FALSE)</f>
        <v>1</v>
      </c>
    </row>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spans="1:32" ht="12" customHeight="1" x14ac:dyDescent="0.2"/>
    <row r="130" spans="1:32" ht="12" customHeight="1" x14ac:dyDescent="0.2"/>
    <row r="135" spans="1:32" s="64" customFormat="1" x14ac:dyDescent="0.2">
      <c r="A135" s="77"/>
      <c r="B135" s="77"/>
      <c r="C135" s="77"/>
      <c r="D135" s="77"/>
      <c r="E135" s="77"/>
      <c r="F135" s="77"/>
      <c r="G135" s="77"/>
      <c r="H135" s="77"/>
      <c r="I135" s="77"/>
      <c r="J135" s="77"/>
      <c r="K135" s="77"/>
      <c r="L135" s="77"/>
      <c r="M135" s="77"/>
      <c r="Q135" s="77"/>
      <c r="R135" s="77"/>
      <c r="S135" s="77"/>
      <c r="T135" s="77"/>
      <c r="U135" s="77"/>
      <c r="V135" s="77"/>
      <c r="W135" s="77"/>
      <c r="X135" s="77"/>
      <c r="Y135" s="77"/>
      <c r="Z135" s="77"/>
      <c r="AA135" s="77"/>
      <c r="AB135" s="77"/>
      <c r="AC135" s="77"/>
      <c r="AD135" s="77"/>
      <c r="AE135" s="77"/>
      <c r="AF135" s="77"/>
    </row>
    <row r="136" spans="1:32" s="64" customFormat="1" x14ac:dyDescent="0.2">
      <c r="A136" s="77"/>
      <c r="B136" s="77"/>
      <c r="C136" s="77"/>
      <c r="D136" s="77"/>
      <c r="E136" s="77"/>
      <c r="F136" s="77"/>
      <c r="G136" s="77"/>
      <c r="H136" s="77"/>
      <c r="I136" s="77"/>
      <c r="J136" s="77"/>
      <c r="K136" s="77"/>
      <c r="L136" s="77"/>
      <c r="M136" s="77"/>
      <c r="Q136" s="77"/>
      <c r="R136" s="77"/>
      <c r="S136" s="77"/>
      <c r="T136" s="77"/>
      <c r="U136" s="77"/>
      <c r="V136" s="77"/>
      <c r="W136" s="77"/>
      <c r="X136" s="77"/>
      <c r="Y136" s="77"/>
      <c r="Z136" s="77"/>
      <c r="AA136" s="77"/>
      <c r="AB136" s="77"/>
      <c r="AC136" s="77"/>
      <c r="AD136" s="77"/>
      <c r="AE136" s="77"/>
      <c r="AF136" s="77"/>
    </row>
    <row r="137" spans="1:32" s="64" customFormat="1" x14ac:dyDescent="0.2">
      <c r="A137" s="77"/>
      <c r="B137" s="77"/>
      <c r="C137" s="77"/>
      <c r="D137" s="77"/>
      <c r="E137" s="77"/>
      <c r="F137" s="77"/>
      <c r="G137" s="77"/>
      <c r="H137" s="77"/>
      <c r="I137" s="77"/>
      <c r="J137" s="77"/>
      <c r="K137" s="77"/>
      <c r="L137" s="77"/>
      <c r="M137" s="77"/>
      <c r="Q137" s="77"/>
      <c r="R137" s="77"/>
      <c r="S137" s="77"/>
      <c r="T137" s="77"/>
      <c r="U137" s="77"/>
      <c r="V137" s="77"/>
      <c r="W137" s="77"/>
      <c r="X137" s="77"/>
      <c r="Y137" s="77"/>
      <c r="Z137" s="77"/>
      <c r="AA137" s="77"/>
      <c r="AB137" s="77"/>
      <c r="AC137" s="77"/>
      <c r="AD137" s="77"/>
      <c r="AE137" s="77"/>
      <c r="AF137" s="77"/>
    </row>
    <row r="138" spans="1:32" s="64" customFormat="1" x14ac:dyDescent="0.2">
      <c r="A138" s="77"/>
      <c r="B138" s="77"/>
      <c r="C138" s="77"/>
      <c r="D138" s="77"/>
      <c r="E138" s="77"/>
      <c r="F138" s="77"/>
      <c r="G138" s="77"/>
      <c r="H138" s="77"/>
      <c r="I138" s="77"/>
      <c r="J138" s="77"/>
      <c r="K138" s="77"/>
      <c r="L138" s="77"/>
      <c r="M138" s="77"/>
      <c r="Q138" s="77"/>
      <c r="R138" s="77"/>
      <c r="S138" s="77"/>
      <c r="T138" s="77"/>
      <c r="U138" s="77"/>
      <c r="V138" s="77"/>
      <c r="W138" s="77"/>
      <c r="X138" s="77"/>
      <c r="Y138" s="77"/>
      <c r="Z138" s="77"/>
      <c r="AA138" s="77"/>
      <c r="AB138" s="77"/>
      <c r="AC138" s="77"/>
      <c r="AD138" s="77"/>
      <c r="AE138" s="77"/>
      <c r="AF138" s="77"/>
    </row>
    <row r="139" spans="1:32" s="64" customFormat="1" ht="12" x14ac:dyDescent="0.2">
      <c r="A139" s="248" t="s">
        <v>192</v>
      </c>
      <c r="B139" s="84">
        <v>0.5</v>
      </c>
      <c r="C139" s="84">
        <v>0.5</v>
      </c>
      <c r="D139" s="84">
        <v>0.5</v>
      </c>
      <c r="E139" s="84">
        <v>0.5</v>
      </c>
      <c r="F139" s="84">
        <v>0.5</v>
      </c>
      <c r="G139" s="84">
        <v>0.5</v>
      </c>
      <c r="H139" s="84">
        <v>0.55000000000000004</v>
      </c>
      <c r="I139" s="84">
        <v>0.6</v>
      </c>
      <c r="J139" s="84">
        <v>0.65</v>
      </c>
      <c r="K139" s="84">
        <v>0.7</v>
      </c>
      <c r="L139" s="84">
        <v>0.7</v>
      </c>
      <c r="M139" s="84">
        <v>0.7</v>
      </c>
      <c r="Q139" s="77"/>
      <c r="R139" s="77"/>
      <c r="S139" s="77"/>
      <c r="T139" s="77"/>
      <c r="U139" s="77"/>
      <c r="V139" s="77"/>
      <c r="W139" s="77"/>
      <c r="X139" s="77"/>
      <c r="Y139" s="77"/>
      <c r="Z139" s="77"/>
      <c r="AA139" s="77"/>
      <c r="AB139" s="77"/>
      <c r="AC139" s="77"/>
      <c r="AD139" s="77"/>
      <c r="AE139" s="77"/>
      <c r="AF139" s="77"/>
    </row>
    <row r="140" spans="1:32" ht="12" x14ac:dyDescent="0.2">
      <c r="A140" s="248" t="s">
        <v>193</v>
      </c>
      <c r="B140" s="249">
        <v>3.4</v>
      </c>
      <c r="C140" s="249">
        <v>3.4</v>
      </c>
      <c r="D140" s="249">
        <v>3.4</v>
      </c>
      <c r="E140" s="249">
        <v>3.4</v>
      </c>
      <c r="F140" s="249">
        <v>3.4</v>
      </c>
      <c r="G140" s="249">
        <v>3.4</v>
      </c>
      <c r="H140" s="249">
        <v>3.3</v>
      </c>
      <c r="I140" s="249">
        <v>3</v>
      </c>
      <c r="J140" s="249">
        <v>2.7</v>
      </c>
      <c r="K140" s="249">
        <v>2.4</v>
      </c>
      <c r="L140" s="249">
        <v>2.2000000000000002</v>
      </c>
      <c r="M140" s="249">
        <v>2</v>
      </c>
    </row>
    <row r="141" spans="1:32" ht="12" x14ac:dyDescent="0.2">
      <c r="A141" s="248" t="s">
        <v>194</v>
      </c>
      <c r="B141" s="250">
        <v>37</v>
      </c>
      <c r="C141" s="250">
        <v>37</v>
      </c>
      <c r="D141" s="250">
        <v>37</v>
      </c>
      <c r="E141" s="250">
        <v>37</v>
      </c>
      <c r="F141" s="250">
        <v>37</v>
      </c>
      <c r="G141" s="250">
        <v>46</v>
      </c>
      <c r="H141" s="250">
        <v>46</v>
      </c>
      <c r="I141" s="250">
        <v>54</v>
      </c>
      <c r="J141" s="250">
        <v>61</v>
      </c>
      <c r="K141" s="250">
        <v>63</v>
      </c>
      <c r="L141" s="250">
        <v>76</v>
      </c>
      <c r="M141" s="250">
        <v>85</v>
      </c>
    </row>
    <row r="142" spans="1:32" ht="12" x14ac:dyDescent="0.2">
      <c r="A142" s="77" t="s">
        <v>195</v>
      </c>
      <c r="B142" s="249">
        <v>38.181818181818144</v>
      </c>
      <c r="C142" s="249">
        <v>38.181818181818144</v>
      </c>
      <c r="D142" s="249">
        <v>38.181818181818144</v>
      </c>
      <c r="E142" s="249">
        <v>38.181818181818144</v>
      </c>
      <c r="F142" s="249">
        <v>38.181818181818144</v>
      </c>
      <c r="G142" s="249">
        <v>38.181818181818144</v>
      </c>
      <c r="H142" s="249">
        <v>43.636363636363598</v>
      </c>
      <c r="I142" s="249">
        <v>59.999999999999943</v>
      </c>
      <c r="J142" s="249">
        <v>65.999999999999972</v>
      </c>
      <c r="K142" s="249">
        <v>72</v>
      </c>
      <c r="L142" s="249">
        <v>76.000000000000028</v>
      </c>
      <c r="M142" s="249">
        <v>80.000000000000043</v>
      </c>
    </row>
    <row r="143" spans="1:32" ht="12" x14ac:dyDescent="0.2">
      <c r="A143" s="248" t="s">
        <v>196</v>
      </c>
      <c r="B143" s="251" t="e">
        <f>ROUND(TREND($N$152:$N$155,#REF!,B140),2)</f>
        <v>#REF!</v>
      </c>
      <c r="C143" s="251" t="e">
        <f>ROUND(TREND($N$152:$N$155,#REF!,C140),2)</f>
        <v>#REF!</v>
      </c>
      <c r="D143" s="251" t="e">
        <f>ROUND(TREND($N$152:$N$155,#REF!,D140),2)</f>
        <v>#REF!</v>
      </c>
      <c r="E143" s="251" t="e">
        <f>ROUND(TREND($N$152:$N$155,#REF!,E140),2)</f>
        <v>#REF!</v>
      </c>
      <c r="F143" s="251" t="e">
        <f>ROUND(TREND($N$152:$N$155,#REF!,F140),2)</f>
        <v>#REF!</v>
      </c>
      <c r="G143" s="251" t="e">
        <f>ROUND(TREND($N$152:$N$155,#REF!,G140),2)</f>
        <v>#REF!</v>
      </c>
      <c r="H143" s="251" t="e">
        <f>ROUND(TREND($N$152:$N$155,#REF!,H140),2)</f>
        <v>#REF!</v>
      </c>
      <c r="I143" s="251" t="e">
        <f>ROUND(TREND($N$152:$N$155,#REF!,I140),2)</f>
        <v>#REF!</v>
      </c>
      <c r="J143" s="251" t="e">
        <f>ROUND(TREND($N$152:$N$155,#REF!,J140),2)</f>
        <v>#REF!</v>
      </c>
      <c r="K143" s="251" t="e">
        <f>ROUND(TREND($N$152:$N$155,#REF!,K140),2)</f>
        <v>#REF!</v>
      </c>
      <c r="L143" s="251" t="e">
        <f>ROUND(TREND($N$152:$N$155,#REF!,L140),2)</f>
        <v>#REF!</v>
      </c>
      <c r="M143" s="251" t="e">
        <f>ROUND(TREND($N$152:$N$155,#REF!,M140),2)</f>
        <v>#REF!</v>
      </c>
    </row>
    <row r="147" spans="1:32" s="64" customFormat="1" x14ac:dyDescent="0.2">
      <c r="A147" s="77"/>
      <c r="B147" s="77"/>
      <c r="C147" s="77"/>
      <c r="D147" s="77"/>
      <c r="E147" s="77"/>
      <c r="F147" s="77"/>
      <c r="G147" s="77"/>
      <c r="H147" s="77"/>
      <c r="I147" s="77"/>
      <c r="J147" s="77"/>
      <c r="K147" s="77"/>
      <c r="L147" s="77"/>
      <c r="M147" s="77"/>
      <c r="Q147" s="77"/>
      <c r="R147" s="77"/>
      <c r="S147" s="77"/>
      <c r="T147" s="77"/>
      <c r="U147" s="77"/>
      <c r="V147" s="77"/>
      <c r="W147" s="77"/>
      <c r="X147" s="77"/>
      <c r="Y147" s="77"/>
      <c r="Z147" s="77"/>
      <c r="AA147" s="77"/>
      <c r="AB147" s="77"/>
      <c r="AC147" s="77"/>
      <c r="AD147" s="77"/>
      <c r="AE147" s="77"/>
      <c r="AF147" s="77"/>
    </row>
    <row r="148" spans="1:32" s="64" customFormat="1" x14ac:dyDescent="0.2">
      <c r="A148" s="77"/>
      <c r="B148" s="77"/>
      <c r="C148" s="77"/>
      <c r="D148" s="77"/>
      <c r="E148" s="77"/>
      <c r="F148" s="77"/>
      <c r="G148" s="77"/>
      <c r="H148" s="77"/>
      <c r="I148" s="77"/>
      <c r="J148" s="77"/>
      <c r="K148" s="77"/>
      <c r="L148" s="77"/>
      <c r="M148" s="77"/>
      <c r="Q148" s="77"/>
      <c r="R148" s="77"/>
      <c r="S148" s="77"/>
      <c r="T148" s="77"/>
      <c r="U148" s="77"/>
      <c r="V148" s="77"/>
      <c r="W148" s="77"/>
      <c r="X148" s="77"/>
      <c r="Y148" s="77"/>
      <c r="Z148" s="77"/>
      <c r="AA148" s="77"/>
      <c r="AB148" s="77"/>
      <c r="AC148" s="77"/>
      <c r="AD148" s="77"/>
      <c r="AE148" s="77"/>
      <c r="AF148" s="77"/>
    </row>
    <row r="149" spans="1:32" s="64" customFormat="1" x14ac:dyDescent="0.2">
      <c r="A149" s="77"/>
      <c r="B149" s="77"/>
      <c r="C149" s="77"/>
      <c r="D149" s="77"/>
      <c r="E149" s="77"/>
      <c r="F149" s="77"/>
      <c r="G149" s="77"/>
      <c r="H149" s="77"/>
      <c r="I149" s="77"/>
      <c r="J149" s="77"/>
      <c r="K149" s="77"/>
      <c r="L149" s="77"/>
      <c r="M149" s="77"/>
      <c r="Q149" s="77"/>
      <c r="R149" s="77"/>
      <c r="S149" s="77"/>
      <c r="T149" s="77"/>
      <c r="U149" s="77"/>
      <c r="V149" s="77"/>
      <c r="W149" s="77"/>
      <c r="X149" s="77"/>
      <c r="Y149" s="77"/>
      <c r="Z149" s="77"/>
      <c r="AA149" s="77"/>
      <c r="AB149" s="77"/>
      <c r="AC149" s="77"/>
      <c r="AD149" s="77"/>
      <c r="AE149" s="77"/>
      <c r="AF149" s="77"/>
    </row>
    <row r="150" spans="1:32" s="64" customFormat="1" x14ac:dyDescent="0.2">
      <c r="A150" s="77"/>
      <c r="B150" s="77"/>
      <c r="C150" s="77"/>
      <c r="D150" s="77"/>
      <c r="E150" s="77"/>
      <c r="F150" s="77"/>
      <c r="G150" s="77"/>
      <c r="H150" s="77"/>
      <c r="I150" s="77"/>
      <c r="J150" s="77"/>
      <c r="K150" s="77"/>
      <c r="L150" s="77"/>
      <c r="M150" s="77"/>
      <c r="Q150" s="77"/>
      <c r="R150" s="77"/>
      <c r="S150" s="77"/>
      <c r="T150" s="77"/>
      <c r="U150" s="77"/>
      <c r="V150" s="77"/>
      <c r="W150" s="77"/>
      <c r="X150" s="77"/>
      <c r="Y150" s="77"/>
      <c r="Z150" s="77"/>
      <c r="AA150" s="77"/>
      <c r="AB150" s="77"/>
      <c r="AC150" s="77"/>
      <c r="AD150" s="77"/>
      <c r="AE150" s="77"/>
      <c r="AF150" s="77"/>
    </row>
    <row r="151" spans="1:32" s="64" customFormat="1" x14ac:dyDescent="0.2">
      <c r="A151" s="77"/>
      <c r="B151" s="77"/>
      <c r="C151" s="77"/>
      <c r="D151" s="77"/>
      <c r="E151" s="77"/>
      <c r="F151" s="77"/>
      <c r="G151" s="77"/>
      <c r="H151" s="77"/>
      <c r="I151" s="77"/>
      <c r="J151" s="77"/>
      <c r="K151" s="77"/>
      <c r="L151" s="77"/>
      <c r="M151" s="77"/>
      <c r="N151" s="252"/>
      <c r="Q151" s="77"/>
      <c r="R151" s="77"/>
      <c r="S151" s="77"/>
      <c r="T151" s="77"/>
      <c r="U151" s="77"/>
      <c r="V151" s="77"/>
      <c r="W151" s="77"/>
      <c r="X151" s="77"/>
      <c r="Y151" s="77"/>
      <c r="Z151" s="77"/>
      <c r="AA151" s="77"/>
      <c r="AB151" s="77"/>
      <c r="AC151" s="77"/>
      <c r="AD151" s="77"/>
      <c r="AE151" s="77"/>
      <c r="AF151" s="77"/>
    </row>
    <row r="152" spans="1:32" x14ac:dyDescent="0.2">
      <c r="N152" s="253">
        <v>1</v>
      </c>
    </row>
    <row r="153" spans="1:32" x14ac:dyDescent="0.2">
      <c r="N153" s="253">
        <v>0.8</v>
      </c>
    </row>
    <row r="154" spans="1:32" x14ac:dyDescent="0.2">
      <c r="N154" s="253">
        <v>0.6</v>
      </c>
    </row>
    <row r="155" spans="1:32" x14ac:dyDescent="0.2">
      <c r="N155" s="253">
        <v>0.3</v>
      </c>
    </row>
  </sheetData>
  <dataConsolidate/>
  <mergeCells count="14">
    <mergeCell ref="B89:C89"/>
    <mergeCell ref="D89:E89"/>
    <mergeCell ref="F89:G89"/>
    <mergeCell ref="A85:B85"/>
    <mergeCell ref="A1:D1"/>
    <mergeCell ref="A73:B73"/>
    <mergeCell ref="A74:B74"/>
    <mergeCell ref="A63:N63"/>
    <mergeCell ref="P37:Q37"/>
    <mergeCell ref="N1:Q1"/>
    <mergeCell ref="B16:C16"/>
    <mergeCell ref="D16:F16"/>
    <mergeCell ref="G16:I16"/>
    <mergeCell ref="K16:M16"/>
  </mergeCells>
  <phoneticPr fontId="19" type="noConversion"/>
  <conditionalFormatting sqref="C91:C93 C95:C100">
    <cfRule type="cellIs" dxfId="34" priority="27" operator="equal">
      <formula>B91</formula>
    </cfRule>
  </conditionalFormatting>
  <conditionalFormatting sqref="D91:E93 D94 D95:E100">
    <cfRule type="cellIs" dxfId="33" priority="28" operator="equal">
      <formula>C91</formula>
    </cfRule>
  </conditionalFormatting>
  <conditionalFormatting sqref="F93 F95:F100">
    <cfRule type="cellIs" dxfId="32" priority="29" operator="equal">
      <formula>G93</formula>
    </cfRule>
  </conditionalFormatting>
  <conditionalFormatting sqref="E91:E92">
    <cfRule type="cellIs" dxfId="31" priority="35" operator="equal">
      <formula>D91</formula>
    </cfRule>
  </conditionalFormatting>
  <conditionalFormatting sqref="C91">
    <cfRule type="cellIs" dxfId="30" priority="34" operator="equal">
      <formula>B91</formula>
    </cfRule>
  </conditionalFormatting>
  <conditionalFormatting sqref="D91">
    <cfRule type="cellIs" dxfId="29" priority="33" operator="equal">
      <formula>C91</formula>
    </cfRule>
  </conditionalFormatting>
  <conditionalFormatting sqref="E91:E92">
    <cfRule type="cellIs" dxfId="28" priority="32" operator="equal">
      <formula>D91</formula>
    </cfRule>
  </conditionalFormatting>
  <conditionalFormatting sqref="C91">
    <cfRule type="cellIs" dxfId="27" priority="31" operator="equal">
      <formula>B91</formula>
    </cfRule>
  </conditionalFormatting>
  <conditionalFormatting sqref="D91">
    <cfRule type="cellIs" dxfId="26" priority="30" operator="equal">
      <formula>C91</formula>
    </cfRule>
  </conditionalFormatting>
  <conditionalFormatting sqref="E91:E92">
    <cfRule type="cellIs" dxfId="25" priority="36" operator="equal">
      <formula>D91</formula>
    </cfRule>
  </conditionalFormatting>
  <conditionalFormatting sqref="E95:E99">
    <cfRule type="cellIs" dxfId="24" priority="25" operator="equal">
      <formula>D95</formula>
    </cfRule>
  </conditionalFormatting>
  <conditionalFormatting sqref="E95:E99">
    <cfRule type="cellIs" dxfId="23" priority="24" operator="equal">
      <formula>D95</formula>
    </cfRule>
  </conditionalFormatting>
  <conditionalFormatting sqref="E95:E99">
    <cfRule type="cellIs" dxfId="22" priority="26" operator="equal">
      <formula>D95</formula>
    </cfRule>
  </conditionalFormatting>
  <conditionalFormatting sqref="E91:E92">
    <cfRule type="cellIs" dxfId="21" priority="22" operator="equal">
      <formula>D91</formula>
    </cfRule>
  </conditionalFormatting>
  <conditionalFormatting sqref="E91:E92">
    <cfRule type="cellIs" dxfId="20" priority="21" operator="equal">
      <formula>D91</formula>
    </cfRule>
  </conditionalFormatting>
  <conditionalFormatting sqref="E91:E92">
    <cfRule type="cellIs" dxfId="19" priority="23" operator="equal">
      <formula>D91</formula>
    </cfRule>
  </conditionalFormatting>
  <conditionalFormatting sqref="E91:E92">
    <cfRule type="cellIs" dxfId="18" priority="19" operator="equal">
      <formula>D91</formula>
    </cfRule>
  </conditionalFormatting>
  <conditionalFormatting sqref="E91:E92">
    <cfRule type="cellIs" dxfId="17" priority="18" operator="equal">
      <formula>D91</formula>
    </cfRule>
  </conditionalFormatting>
  <conditionalFormatting sqref="E91:E92">
    <cfRule type="cellIs" dxfId="16" priority="20" operator="equal">
      <formula>D91</formula>
    </cfRule>
  </conditionalFormatting>
  <conditionalFormatting sqref="F91">
    <cfRule type="cellIs" dxfId="15" priority="14" operator="equal">
      <formula>G91</formula>
    </cfRule>
  </conditionalFormatting>
  <conditionalFormatting sqref="F92">
    <cfRule type="cellIs" dxfId="14" priority="13" operator="equal">
      <formula>G92</formula>
    </cfRule>
  </conditionalFormatting>
  <conditionalFormatting sqref="C94">
    <cfRule type="cellIs" dxfId="13" priority="10" operator="equal">
      <formula>B94</formula>
    </cfRule>
  </conditionalFormatting>
  <conditionalFormatting sqref="E94">
    <cfRule type="cellIs" dxfId="12" priority="11" operator="equal">
      <formula>D94</formula>
    </cfRule>
  </conditionalFormatting>
  <conditionalFormatting sqref="F94">
    <cfRule type="cellIs" dxfId="11" priority="12" operator="equal">
      <formula>G94</formula>
    </cfRule>
  </conditionalFormatting>
  <conditionalFormatting sqref="E94">
    <cfRule type="cellIs" dxfId="10" priority="8" operator="equal">
      <formula>D94</formula>
    </cfRule>
  </conditionalFormatting>
  <conditionalFormatting sqref="E94">
    <cfRule type="cellIs" dxfId="9" priority="7" operator="equal">
      <formula>D94</formula>
    </cfRule>
  </conditionalFormatting>
  <conditionalFormatting sqref="E94">
    <cfRule type="cellIs" dxfId="8" priority="9" operator="equal">
      <formula>D94</formula>
    </cfRule>
  </conditionalFormatting>
  <conditionalFormatting sqref="C101:C102">
    <cfRule type="cellIs" dxfId="7" priority="4" operator="equal">
      <formula>B101</formula>
    </cfRule>
  </conditionalFormatting>
  <conditionalFormatting sqref="D101:E102">
    <cfRule type="cellIs" dxfId="6" priority="5" operator="equal">
      <formula>C101</formula>
    </cfRule>
  </conditionalFormatting>
  <conditionalFormatting sqref="F101:F102">
    <cfRule type="cellIs" dxfId="5" priority="6" operator="equal">
      <formula>G101</formula>
    </cfRule>
  </conditionalFormatting>
  <conditionalFormatting sqref="E101:E102">
    <cfRule type="cellIs" dxfId="4" priority="2" operator="equal">
      <formula>D101</formula>
    </cfRule>
  </conditionalFormatting>
  <conditionalFormatting sqref="E101:E102">
    <cfRule type="cellIs" dxfId="3" priority="1" operator="equal">
      <formula>D101</formula>
    </cfRule>
  </conditionalFormatting>
  <conditionalFormatting sqref="E101:E102">
    <cfRule type="cellIs" dxfId="2" priority="3" operator="equal">
      <formula>D101</formula>
    </cfRule>
  </conditionalFormatting>
  <dataValidations disablePrompts="1" count="1">
    <dataValidation type="list" allowBlank="1" showInputMessage="1" showErrorMessage="1" sqref="Q38" xr:uid="{00000000-0002-0000-0300-000000000000}">
      <formula1>$B$14:$M$14</formula1>
    </dataValidation>
  </dataValidations>
  <hyperlinks>
    <hyperlink ref="H1" location="Inventory!A1" display="Inventory" xr:uid="{00000000-0004-0000-0300-000000000000}"/>
    <hyperlink ref="H2" location="'VRC C-2A FDNF DRRS(U)'!A111" display="AMFOM" xr:uid="{00000000-0004-0000-0300-000001000000}"/>
    <hyperlink ref="I89" location="Inventory!A1" display="Inventory" xr:uid="{00000000-0004-0000-0300-000002000000}"/>
    <hyperlink ref="I90" location="'VRC C-2A FDNF DRRS(U)'!A1" display="Top" xr:uid="{00000000-0004-0000-0300-000003000000}"/>
  </hyperlinks>
  <printOptions horizontalCentered="1"/>
  <pageMargins left="0.5" right="0.5" top="0.52" bottom="1" header="0.5" footer="0.5"/>
  <pageSetup paperSize="3" scale="3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41"/>
  <sheetViews>
    <sheetView showGridLines="0" zoomScaleNormal="100" zoomScaleSheetLayoutView="100" workbookViewId="0">
      <selection activeCell="B27" sqref="B27"/>
    </sheetView>
  </sheetViews>
  <sheetFormatPr defaultRowHeight="11.25" x14ac:dyDescent="0.2"/>
  <cols>
    <col min="1" max="1" width="39.140625" style="359" bestFit="1" customWidth="1"/>
    <col min="2" max="2" width="7.42578125" style="359" customWidth="1"/>
    <col min="3" max="6" width="7.42578125" style="356" customWidth="1"/>
    <col min="7" max="9" width="7.42578125" style="357" customWidth="1"/>
    <col min="10" max="15" width="5.7109375" style="357" customWidth="1"/>
    <col min="16" max="17" width="5.7109375" style="358" customWidth="1"/>
    <col min="18" max="29" width="5.7109375" style="359" customWidth="1"/>
    <col min="30" max="30" width="6.28515625" style="359" bestFit="1" customWidth="1"/>
    <col min="31" max="16384" width="9.140625" style="359"/>
  </cols>
  <sheetData>
    <row r="1" spans="1:47" s="349" customFormat="1" ht="18.75" x14ac:dyDescent="0.3">
      <c r="A1" s="584" t="s">
        <v>197</v>
      </c>
      <c r="B1" s="584"/>
      <c r="C1" s="584"/>
      <c r="D1" s="584"/>
      <c r="E1" s="584"/>
      <c r="F1" s="584"/>
      <c r="G1" s="348" t="s">
        <v>37</v>
      </c>
      <c r="I1" s="350" t="s">
        <v>38</v>
      </c>
      <c r="J1" s="585">
        <v>44105</v>
      </c>
      <c r="K1" s="585"/>
      <c r="N1" s="351"/>
      <c r="O1" s="351"/>
      <c r="P1" s="352"/>
      <c r="Q1" s="352"/>
      <c r="AC1" s="488" t="s">
        <v>39</v>
      </c>
      <c r="AD1" s="487">
        <v>3.03</v>
      </c>
    </row>
    <row r="2" spans="1:47" ht="12" x14ac:dyDescent="0.2">
      <c r="A2" s="353"/>
      <c r="B2" s="354" t="s">
        <v>198</v>
      </c>
      <c r="C2" s="355"/>
    </row>
    <row r="3" spans="1:47" ht="12" x14ac:dyDescent="0.2">
      <c r="A3" s="360" t="s">
        <v>199</v>
      </c>
      <c r="B3" s="361">
        <v>1</v>
      </c>
      <c r="C3" s="362"/>
    </row>
    <row r="4" spans="1:47" ht="12" x14ac:dyDescent="0.2">
      <c r="A4" s="360"/>
      <c r="B4" s="361"/>
      <c r="C4" s="362"/>
    </row>
    <row r="5" spans="1:47" x14ac:dyDescent="0.2">
      <c r="A5" s="353"/>
      <c r="B5" s="363"/>
      <c r="C5" s="359"/>
    </row>
    <row r="6" spans="1:47" x14ac:dyDescent="0.2">
      <c r="A6" s="353"/>
      <c r="B6" s="363"/>
      <c r="C6" s="359"/>
    </row>
    <row r="7" spans="1:47" ht="56.25" customHeight="1" x14ac:dyDescent="0.2">
      <c r="A7" s="390" t="s">
        <v>53</v>
      </c>
      <c r="B7" s="365" t="s">
        <v>200</v>
      </c>
      <c r="C7" s="382"/>
      <c r="F7" s="359"/>
    </row>
    <row r="8" spans="1:47" ht="12" x14ac:dyDescent="0.2">
      <c r="A8" s="390" t="s">
        <v>61</v>
      </c>
      <c r="B8" s="366" t="s">
        <v>201</v>
      </c>
      <c r="C8" s="383"/>
      <c r="F8" s="359"/>
    </row>
    <row r="9" spans="1:47" s="368" customFormat="1" ht="12" x14ac:dyDescent="0.2">
      <c r="A9" s="390" t="s">
        <v>92</v>
      </c>
      <c r="B9" s="367">
        <v>1</v>
      </c>
      <c r="C9" s="384"/>
      <c r="D9" s="356"/>
      <c r="E9" s="356"/>
      <c r="G9" s="357"/>
      <c r="H9" s="357"/>
      <c r="I9" s="357"/>
      <c r="J9" s="357"/>
      <c r="K9" s="357"/>
      <c r="L9" s="357"/>
      <c r="M9" s="357"/>
      <c r="N9" s="357"/>
      <c r="O9" s="357"/>
      <c r="P9" s="369"/>
      <c r="Q9" s="369"/>
    </row>
    <row r="10" spans="1:47" s="368" customFormat="1" ht="12" x14ac:dyDescent="0.2">
      <c r="A10" s="390" t="s">
        <v>93</v>
      </c>
      <c r="B10" s="367" t="s">
        <v>200</v>
      </c>
      <c r="C10" s="385"/>
      <c r="D10" s="356"/>
      <c r="E10" s="356"/>
      <c r="G10" s="357"/>
      <c r="H10" s="357"/>
      <c r="I10" s="357"/>
      <c r="J10" s="357"/>
      <c r="K10" s="357"/>
      <c r="L10" s="357"/>
      <c r="M10" s="357"/>
      <c r="N10" s="357"/>
      <c r="O10" s="357"/>
      <c r="P10" s="369"/>
      <c r="Q10" s="369"/>
    </row>
    <row r="11" spans="1:47" s="368" customFormat="1" ht="12.75" x14ac:dyDescent="0.2">
      <c r="A11" s="266" t="s">
        <v>115</v>
      </c>
      <c r="B11" s="367"/>
      <c r="C11" s="384"/>
      <c r="D11" s="356"/>
      <c r="E11" s="356"/>
      <c r="G11" s="357"/>
      <c r="H11" s="357"/>
      <c r="I11" s="357"/>
      <c r="J11" s="357"/>
      <c r="K11" s="357"/>
      <c r="L11" s="357"/>
      <c r="M11" s="357"/>
      <c r="N11" s="357"/>
      <c r="O11" s="357"/>
      <c r="P11" s="369"/>
      <c r="Q11" s="369"/>
    </row>
    <row r="12" spans="1:47" s="368" customFormat="1" ht="12" x14ac:dyDescent="0.2">
      <c r="A12" s="364" t="s">
        <v>116</v>
      </c>
      <c r="B12" s="455" t="s">
        <v>202</v>
      </c>
      <c r="C12" s="384"/>
      <c r="D12" s="356"/>
      <c r="E12" s="356"/>
      <c r="G12" s="357"/>
      <c r="H12" s="357"/>
      <c r="I12" s="357"/>
      <c r="J12" s="357"/>
      <c r="K12" s="357"/>
      <c r="L12" s="357"/>
      <c r="M12" s="357"/>
      <c r="N12" s="357"/>
      <c r="O12" s="357"/>
      <c r="P12" s="369"/>
      <c r="Q12" s="369"/>
    </row>
    <row r="13" spans="1:47" s="368" customFormat="1" ht="12" x14ac:dyDescent="0.2">
      <c r="A13" s="364" t="s">
        <v>117</v>
      </c>
      <c r="B13" s="455">
        <v>0.75</v>
      </c>
      <c r="C13" s="384"/>
      <c r="D13" s="356"/>
      <c r="E13" s="356"/>
      <c r="G13" s="357"/>
      <c r="H13" s="357"/>
      <c r="I13" s="357"/>
      <c r="J13" s="357"/>
      <c r="K13" s="357"/>
      <c r="L13" s="357"/>
      <c r="M13" s="357"/>
      <c r="N13" s="357"/>
      <c r="O13" s="357"/>
      <c r="P13" s="369"/>
      <c r="Q13" s="369"/>
    </row>
    <row r="14" spans="1:47" s="368" customFormat="1" ht="12" x14ac:dyDescent="0.2">
      <c r="A14" s="390" t="s">
        <v>118</v>
      </c>
      <c r="B14" s="455">
        <v>0.25</v>
      </c>
      <c r="C14" s="384"/>
      <c r="D14" s="356"/>
      <c r="E14" s="356"/>
      <c r="G14" s="357"/>
      <c r="H14" s="357"/>
      <c r="I14" s="357"/>
      <c r="J14" s="357"/>
      <c r="K14" s="357"/>
      <c r="L14" s="357"/>
      <c r="M14" s="357"/>
      <c r="N14" s="357"/>
      <c r="O14" s="357"/>
      <c r="P14" s="369"/>
      <c r="Q14" s="369"/>
    </row>
    <row r="15" spans="1:47" ht="12.75" x14ac:dyDescent="0.2">
      <c r="A15" s="370" t="s">
        <v>203</v>
      </c>
      <c r="B15" s="371" t="s">
        <v>198</v>
      </c>
      <c r="C15" s="386"/>
      <c r="D15" s="372"/>
      <c r="E15" s="372"/>
      <c r="F15" s="359"/>
      <c r="G15" s="373"/>
      <c r="H15" s="373"/>
      <c r="I15" s="373"/>
      <c r="J15" s="373"/>
      <c r="K15" s="373"/>
      <c r="L15" s="373"/>
      <c r="M15" s="373"/>
      <c r="N15" s="373"/>
      <c r="O15" s="373"/>
      <c r="P15" s="374"/>
      <c r="Q15" s="374"/>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row>
    <row r="16" spans="1:47" s="379" customFormat="1" ht="12" x14ac:dyDescent="0.2">
      <c r="A16" s="391" t="s">
        <v>121</v>
      </c>
      <c r="B16" s="393">
        <v>1</v>
      </c>
      <c r="C16" s="387"/>
      <c r="D16" s="376"/>
      <c r="E16" s="376"/>
      <c r="F16" s="376"/>
      <c r="G16" s="377"/>
      <c r="H16" s="377"/>
      <c r="I16" s="377"/>
      <c r="J16" s="377"/>
      <c r="K16" s="377"/>
      <c r="L16" s="377"/>
      <c r="M16" s="377"/>
      <c r="N16" s="377"/>
      <c r="O16" s="377"/>
      <c r="P16" s="378"/>
      <c r="Q16" s="378"/>
    </row>
    <row r="17" spans="1:47" ht="12" x14ac:dyDescent="0.2">
      <c r="A17" s="391" t="s">
        <v>122</v>
      </c>
      <c r="B17" s="393">
        <f>B16*B13</f>
        <v>0.75</v>
      </c>
      <c r="C17" s="387"/>
      <c r="D17" s="372"/>
      <c r="E17" s="372"/>
      <c r="F17" s="372"/>
      <c r="G17" s="373"/>
      <c r="H17" s="373"/>
      <c r="I17" s="373"/>
      <c r="J17" s="373"/>
      <c r="K17" s="373"/>
      <c r="L17" s="373"/>
      <c r="M17" s="373"/>
      <c r="N17" s="373"/>
      <c r="O17" s="373"/>
      <c r="P17" s="374"/>
      <c r="Q17" s="374"/>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row>
    <row r="18" spans="1:47" ht="12" x14ac:dyDescent="0.2">
      <c r="A18" s="391" t="s">
        <v>124</v>
      </c>
      <c r="B18" s="393">
        <f>B16*B14</f>
        <v>0.25</v>
      </c>
      <c r="C18" s="387"/>
      <c r="D18" s="372"/>
      <c r="E18" s="372"/>
      <c r="F18" s="372"/>
      <c r="G18" s="373"/>
      <c r="H18" s="373"/>
      <c r="I18" s="373"/>
      <c r="J18" s="373"/>
      <c r="K18" s="373"/>
      <c r="L18" s="373"/>
      <c r="M18" s="373"/>
      <c r="N18" s="373"/>
      <c r="O18" s="373"/>
      <c r="P18" s="374"/>
      <c r="Q18" s="374"/>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row>
    <row r="19" spans="1:47" ht="12" x14ac:dyDescent="0.2">
      <c r="A19" s="476" t="s">
        <v>125</v>
      </c>
      <c r="B19" s="207"/>
      <c r="C19" s="388"/>
      <c r="D19" s="372"/>
      <c r="E19" s="372"/>
      <c r="F19" s="372"/>
      <c r="G19" s="373"/>
      <c r="H19" s="373"/>
      <c r="I19" s="373"/>
      <c r="J19" s="373"/>
      <c r="K19" s="373"/>
      <c r="L19" s="373"/>
      <c r="M19" s="373"/>
      <c r="N19" s="373"/>
      <c r="O19" s="373"/>
      <c r="P19" s="374"/>
      <c r="Q19" s="374"/>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row>
    <row r="20" spans="1:47" s="379" customFormat="1" ht="12" x14ac:dyDescent="0.2">
      <c r="A20" s="471" t="s">
        <v>126</v>
      </c>
      <c r="B20" s="477">
        <v>0.25</v>
      </c>
      <c r="C20" s="389"/>
      <c r="D20" s="376"/>
      <c r="E20" s="376"/>
      <c r="F20" s="376"/>
      <c r="G20" s="377"/>
      <c r="H20" s="377"/>
      <c r="I20" s="377"/>
      <c r="J20" s="377"/>
      <c r="K20" s="377"/>
      <c r="L20" s="377"/>
      <c r="M20" s="377"/>
      <c r="N20" s="377"/>
      <c r="O20" s="377"/>
      <c r="P20" s="378"/>
      <c r="Q20" s="378"/>
    </row>
    <row r="21" spans="1:47" ht="12" x14ac:dyDescent="0.2">
      <c r="A21" s="471" t="s">
        <v>127</v>
      </c>
      <c r="B21" s="207">
        <v>0.25</v>
      </c>
      <c r="C21" s="389"/>
      <c r="D21" s="372"/>
      <c r="E21" s="372"/>
      <c r="F21" s="372"/>
      <c r="G21" s="373"/>
      <c r="H21" s="373"/>
      <c r="I21" s="373"/>
      <c r="J21" s="373"/>
      <c r="K21" s="373"/>
      <c r="L21" s="373"/>
      <c r="M21" s="373"/>
      <c r="N21" s="373"/>
      <c r="O21" s="373"/>
      <c r="P21" s="374"/>
      <c r="Q21" s="374"/>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row>
    <row r="22" spans="1:47" ht="12" x14ac:dyDescent="0.2">
      <c r="A22" s="471" t="s">
        <v>128</v>
      </c>
      <c r="B22" s="207">
        <v>0.25</v>
      </c>
      <c r="C22" s="389"/>
      <c r="D22" s="372"/>
      <c r="E22" s="372"/>
      <c r="F22" s="372"/>
      <c r="G22" s="373"/>
      <c r="H22" s="373"/>
      <c r="I22" s="373"/>
      <c r="J22" s="373"/>
      <c r="K22" s="373"/>
      <c r="L22" s="373"/>
      <c r="M22" s="373"/>
      <c r="N22" s="373"/>
      <c r="O22" s="373"/>
      <c r="P22" s="374"/>
      <c r="Q22" s="374"/>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row>
    <row r="23" spans="1:47" s="379" customFormat="1" ht="12" x14ac:dyDescent="0.2">
      <c r="A23" s="471" t="s">
        <v>130</v>
      </c>
      <c r="B23" s="207">
        <v>0.25</v>
      </c>
      <c r="C23" s="389"/>
      <c r="D23" s="376"/>
      <c r="E23" s="376"/>
      <c r="F23" s="376"/>
      <c r="G23" s="377"/>
      <c r="H23" s="377"/>
      <c r="I23" s="377"/>
      <c r="J23" s="377"/>
      <c r="K23" s="377"/>
      <c r="L23" s="377"/>
      <c r="M23" s="377"/>
      <c r="N23" s="377"/>
      <c r="O23" s="377"/>
      <c r="P23" s="378"/>
      <c r="Q23" s="378"/>
    </row>
    <row r="24" spans="1:47" ht="12" x14ac:dyDescent="0.2">
      <c r="A24" s="471" t="s">
        <v>132</v>
      </c>
      <c r="B24" s="207">
        <v>0.25</v>
      </c>
      <c r="C24" s="372"/>
      <c r="D24" s="372"/>
      <c r="E24" s="372"/>
      <c r="F24" s="372"/>
      <c r="G24" s="373"/>
      <c r="H24" s="373"/>
      <c r="I24" s="373"/>
      <c r="J24" s="373"/>
      <c r="K24" s="373"/>
      <c r="L24" s="373"/>
      <c r="M24" s="373"/>
      <c r="N24" s="373"/>
      <c r="O24" s="373"/>
      <c r="P24" s="374"/>
      <c r="Q24" s="374"/>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row>
    <row r="25" spans="1:47" ht="12.75" x14ac:dyDescent="0.2">
      <c r="A25" s="472" t="s">
        <v>134</v>
      </c>
      <c r="B25" s="212">
        <f>B17</f>
        <v>0.75</v>
      </c>
      <c r="C25" s="372"/>
      <c r="D25" s="372"/>
      <c r="E25" s="372"/>
      <c r="F25" s="372"/>
      <c r="G25" s="373"/>
      <c r="H25" s="373"/>
      <c r="I25" s="373"/>
      <c r="J25" s="373"/>
      <c r="K25" s="373"/>
      <c r="L25" s="373"/>
      <c r="M25" s="373"/>
      <c r="N25" s="373"/>
      <c r="O25" s="373"/>
      <c r="P25" s="374"/>
      <c r="Q25" s="374"/>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row>
    <row r="26" spans="1:47" ht="12" x14ac:dyDescent="0.2">
      <c r="A26" s="476" t="s">
        <v>136</v>
      </c>
      <c r="B26" s="207"/>
      <c r="C26" s="372"/>
      <c r="D26" s="372"/>
      <c r="E26" s="372"/>
      <c r="F26" s="372"/>
      <c r="G26" s="373"/>
      <c r="H26" s="373"/>
      <c r="I26" s="373"/>
      <c r="J26" s="373"/>
      <c r="K26" s="373"/>
      <c r="L26" s="373"/>
      <c r="M26" s="373"/>
      <c r="N26" s="373"/>
      <c r="O26" s="373"/>
      <c r="P26" s="374"/>
      <c r="Q26" s="374"/>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row>
    <row r="27" spans="1:47" ht="12" x14ac:dyDescent="0.2">
      <c r="A27" s="90" t="s">
        <v>138</v>
      </c>
      <c r="B27" s="481">
        <v>0</v>
      </c>
      <c r="C27" s="372"/>
      <c r="D27" s="372"/>
      <c r="E27" s="372"/>
      <c r="F27" s="372"/>
      <c r="G27" s="373"/>
      <c r="H27" s="373"/>
      <c r="I27" s="373"/>
      <c r="J27" s="373"/>
      <c r="K27" s="373"/>
      <c r="L27" s="373"/>
      <c r="M27" s="373"/>
      <c r="N27" s="373"/>
      <c r="O27" s="373"/>
      <c r="P27" s="374"/>
      <c r="Q27" s="374"/>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row>
    <row r="28" spans="1:47" ht="12" x14ac:dyDescent="0.2">
      <c r="A28" s="90" t="s">
        <v>140</v>
      </c>
      <c r="B28" s="207">
        <v>0</v>
      </c>
      <c r="C28" s="372"/>
      <c r="D28" s="372"/>
      <c r="E28" s="372"/>
      <c r="F28" s="372"/>
      <c r="G28" s="373"/>
      <c r="H28" s="373"/>
      <c r="I28" s="373"/>
      <c r="J28" s="373"/>
      <c r="K28" s="373"/>
      <c r="L28" s="373"/>
      <c r="M28" s="373"/>
      <c r="N28" s="373"/>
      <c r="O28" s="373"/>
      <c r="P28" s="374"/>
      <c r="Q28" s="374"/>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row>
    <row r="29" spans="1:47" ht="12.75" x14ac:dyDescent="0.2">
      <c r="A29" s="380" t="s">
        <v>204</v>
      </c>
      <c r="B29" s="392"/>
      <c r="C29" s="372"/>
      <c r="D29" s="372"/>
      <c r="E29" s="372"/>
      <c r="F29" s="372"/>
      <c r="G29" s="373"/>
      <c r="H29" s="373"/>
      <c r="I29" s="373"/>
      <c r="J29" s="373"/>
      <c r="K29" s="373"/>
      <c r="L29" s="373"/>
      <c r="M29" s="373"/>
      <c r="N29" s="373"/>
      <c r="O29" s="373"/>
      <c r="P29" s="374"/>
      <c r="Q29" s="374"/>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row>
    <row r="30" spans="1:47" ht="12" x14ac:dyDescent="0.2">
      <c r="A30" s="391" t="s">
        <v>205</v>
      </c>
      <c r="B30" s="381">
        <v>0.8</v>
      </c>
      <c r="C30" s="372"/>
      <c r="D30" s="372"/>
      <c r="E30" s="372"/>
      <c r="F30" s="372"/>
      <c r="G30" s="373"/>
      <c r="H30" s="373"/>
      <c r="I30" s="373"/>
      <c r="J30" s="373"/>
      <c r="K30" s="373"/>
      <c r="L30" s="373"/>
      <c r="M30" s="373"/>
      <c r="N30" s="373"/>
      <c r="O30" s="373"/>
      <c r="P30" s="374"/>
      <c r="Q30" s="374"/>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row>
    <row r="31" spans="1:47" ht="12" x14ac:dyDescent="0.2">
      <c r="A31" s="391" t="s">
        <v>206</v>
      </c>
      <c r="B31" s="381">
        <v>0.8</v>
      </c>
      <c r="C31" s="372"/>
      <c r="D31" s="372"/>
      <c r="E31" s="372"/>
      <c r="F31" s="372"/>
      <c r="G31" s="373"/>
      <c r="H31" s="373"/>
      <c r="I31" s="373"/>
      <c r="J31" s="373"/>
      <c r="K31" s="373"/>
      <c r="L31" s="373"/>
      <c r="M31" s="373"/>
      <c r="N31" s="373"/>
      <c r="O31" s="373"/>
      <c r="P31" s="374"/>
      <c r="Q31" s="374"/>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row>
    <row r="32" spans="1:47" ht="12" x14ac:dyDescent="0.2">
      <c r="A32" s="391" t="s">
        <v>207</v>
      </c>
      <c r="B32" s="381">
        <v>0.75</v>
      </c>
      <c r="C32" s="372"/>
      <c r="D32" s="372"/>
      <c r="E32" s="372"/>
      <c r="F32" s="372"/>
      <c r="G32" s="373"/>
      <c r="H32" s="373"/>
      <c r="I32" s="373"/>
      <c r="J32" s="373"/>
      <c r="K32" s="373"/>
      <c r="L32" s="373"/>
      <c r="M32" s="373"/>
      <c r="N32" s="373"/>
      <c r="O32" s="373"/>
      <c r="P32" s="374"/>
      <c r="Q32" s="374"/>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row>
    <row r="33" spans="1:2" x14ac:dyDescent="0.2">
      <c r="A33" s="375"/>
      <c r="B33" s="375"/>
    </row>
    <row r="34" spans="1:2" x14ac:dyDescent="0.2">
      <c r="A34" s="375"/>
      <c r="B34" s="375"/>
    </row>
    <row r="35" spans="1:2" x14ac:dyDescent="0.2">
      <c r="A35" s="375"/>
      <c r="B35" s="375"/>
    </row>
    <row r="36" spans="1:2" x14ac:dyDescent="0.2">
      <c r="A36" s="375"/>
      <c r="B36" s="375"/>
    </row>
    <row r="37" spans="1:2" x14ac:dyDescent="0.2">
      <c r="A37" s="375"/>
      <c r="B37" s="375"/>
    </row>
    <row r="38" spans="1:2" x14ac:dyDescent="0.2">
      <c r="A38" s="375"/>
      <c r="B38" s="375"/>
    </row>
    <row r="39" spans="1:2" x14ac:dyDescent="0.2">
      <c r="A39" s="375"/>
      <c r="B39" s="375"/>
    </row>
    <row r="40" spans="1:2" x14ac:dyDescent="0.2">
      <c r="A40" s="375"/>
      <c r="B40" s="375"/>
    </row>
    <row r="41" spans="1:2" x14ac:dyDescent="0.2">
      <c r="A41" s="375"/>
      <c r="B41" s="375"/>
    </row>
  </sheetData>
  <mergeCells count="2">
    <mergeCell ref="A1:F1"/>
    <mergeCell ref="J1:K1"/>
  </mergeCells>
  <hyperlinks>
    <hyperlink ref="G1" location="Inventory!A1" display="Inventory" xr:uid="{00000000-0004-0000-0400-000000000000}"/>
  </hyperlink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
  <sheetViews>
    <sheetView showGridLines="0" workbookViewId="0">
      <selection activeCell="C1" sqref="C1"/>
    </sheetView>
  </sheetViews>
  <sheetFormatPr defaultRowHeight="11.25" x14ac:dyDescent="0.2"/>
  <cols>
    <col min="1" max="1" width="10.28515625" style="345" customWidth="1"/>
    <col min="2" max="2" width="12.5703125" style="345" bestFit="1" customWidth="1"/>
    <col min="3" max="3" width="47.140625" style="345" customWidth="1"/>
    <col min="4" max="13" width="5.7109375" style="343" customWidth="1"/>
    <col min="14" max="14" width="3.5703125" style="343" bestFit="1" customWidth="1"/>
    <col min="15" max="257" width="9.140625" style="343"/>
    <col min="258" max="258" width="12.140625" style="343" customWidth="1"/>
    <col min="259" max="259" width="30.85546875" style="343" bestFit="1" customWidth="1"/>
    <col min="260" max="260" width="10.5703125" style="343" bestFit="1" customWidth="1"/>
    <col min="261" max="261" width="16.7109375" style="343" bestFit="1" customWidth="1"/>
    <col min="262" max="262" width="17.28515625" style="343" bestFit="1" customWidth="1"/>
    <col min="263" max="263" width="17.28515625" style="343" customWidth="1"/>
    <col min="264" max="264" width="14.85546875" style="343" bestFit="1" customWidth="1"/>
    <col min="265" max="265" width="17.28515625" style="343" bestFit="1" customWidth="1"/>
    <col min="266" max="266" width="14.85546875" style="343" bestFit="1" customWidth="1"/>
    <col min="267" max="267" width="13.7109375" style="343" bestFit="1" customWidth="1"/>
    <col min="268" max="268" width="13.5703125" style="343" bestFit="1" customWidth="1"/>
    <col min="269" max="270" width="3.5703125" style="343" bestFit="1" customWidth="1"/>
    <col min="271" max="513" width="9.140625" style="343"/>
    <col min="514" max="514" width="12.140625" style="343" customWidth="1"/>
    <col min="515" max="515" width="30.85546875" style="343" bestFit="1" customWidth="1"/>
    <col min="516" max="516" width="10.5703125" style="343" bestFit="1" customWidth="1"/>
    <col min="517" max="517" width="16.7109375" style="343" bestFit="1" customWidth="1"/>
    <col min="518" max="518" width="17.28515625" style="343" bestFit="1" customWidth="1"/>
    <col min="519" max="519" width="17.28515625" style="343" customWidth="1"/>
    <col min="520" max="520" width="14.85546875" style="343" bestFit="1" customWidth="1"/>
    <col min="521" max="521" width="17.28515625" style="343" bestFit="1" customWidth="1"/>
    <col min="522" max="522" width="14.85546875" style="343" bestFit="1" customWidth="1"/>
    <col min="523" max="523" width="13.7109375" style="343" bestFit="1" customWidth="1"/>
    <col min="524" max="524" width="13.5703125" style="343" bestFit="1" customWidth="1"/>
    <col min="525" max="526" width="3.5703125" style="343" bestFit="1" customWidth="1"/>
    <col min="527" max="769" width="9.140625" style="343"/>
    <col min="770" max="770" width="12.140625" style="343" customWidth="1"/>
    <col min="771" max="771" width="30.85546875" style="343" bestFit="1" customWidth="1"/>
    <col min="772" max="772" width="10.5703125" style="343" bestFit="1" customWidth="1"/>
    <col min="773" max="773" width="16.7109375" style="343" bestFit="1" customWidth="1"/>
    <col min="774" max="774" width="17.28515625" style="343" bestFit="1" customWidth="1"/>
    <col min="775" max="775" width="17.28515625" style="343" customWidth="1"/>
    <col min="776" max="776" width="14.85546875" style="343" bestFit="1" customWidth="1"/>
    <col min="777" max="777" width="17.28515625" style="343" bestFit="1" customWidth="1"/>
    <col min="778" max="778" width="14.85546875" style="343" bestFit="1" customWidth="1"/>
    <col min="779" max="779" width="13.7109375" style="343" bestFit="1" customWidth="1"/>
    <col min="780" max="780" width="13.5703125" style="343" bestFit="1" customWidth="1"/>
    <col min="781" max="782" width="3.5703125" style="343" bestFit="1" customWidth="1"/>
    <col min="783" max="1025" width="9.140625" style="343"/>
    <col min="1026" max="1026" width="12.140625" style="343" customWidth="1"/>
    <col min="1027" max="1027" width="30.85546875" style="343" bestFit="1" customWidth="1"/>
    <col min="1028" max="1028" width="10.5703125" style="343" bestFit="1" customWidth="1"/>
    <col min="1029" max="1029" width="16.7109375" style="343" bestFit="1" customWidth="1"/>
    <col min="1030" max="1030" width="17.28515625" style="343" bestFit="1" customWidth="1"/>
    <col min="1031" max="1031" width="17.28515625" style="343" customWidth="1"/>
    <col min="1032" max="1032" width="14.85546875" style="343" bestFit="1" customWidth="1"/>
    <col min="1033" max="1033" width="17.28515625" style="343" bestFit="1" customWidth="1"/>
    <col min="1034" max="1034" width="14.85546875" style="343" bestFit="1" customWidth="1"/>
    <col min="1035" max="1035" width="13.7109375" style="343" bestFit="1" customWidth="1"/>
    <col min="1036" max="1036" width="13.5703125" style="343" bestFit="1" customWidth="1"/>
    <col min="1037" max="1038" width="3.5703125" style="343" bestFit="1" customWidth="1"/>
    <col min="1039" max="1281" width="9.140625" style="343"/>
    <col min="1282" max="1282" width="12.140625" style="343" customWidth="1"/>
    <col min="1283" max="1283" width="30.85546875" style="343" bestFit="1" customWidth="1"/>
    <col min="1284" max="1284" width="10.5703125" style="343" bestFit="1" customWidth="1"/>
    <col min="1285" max="1285" width="16.7109375" style="343" bestFit="1" customWidth="1"/>
    <col min="1286" max="1286" width="17.28515625" style="343" bestFit="1" customWidth="1"/>
    <col min="1287" max="1287" width="17.28515625" style="343" customWidth="1"/>
    <col min="1288" max="1288" width="14.85546875" style="343" bestFit="1" customWidth="1"/>
    <col min="1289" max="1289" width="17.28515625" style="343" bestFit="1" customWidth="1"/>
    <col min="1290" max="1290" width="14.85546875" style="343" bestFit="1" customWidth="1"/>
    <col min="1291" max="1291" width="13.7109375" style="343" bestFit="1" customWidth="1"/>
    <col min="1292" max="1292" width="13.5703125" style="343" bestFit="1" customWidth="1"/>
    <col min="1293" max="1294" width="3.5703125" style="343" bestFit="1" customWidth="1"/>
    <col min="1295" max="1537" width="9.140625" style="343"/>
    <col min="1538" max="1538" width="12.140625" style="343" customWidth="1"/>
    <col min="1539" max="1539" width="30.85546875" style="343" bestFit="1" customWidth="1"/>
    <col min="1540" max="1540" width="10.5703125" style="343" bestFit="1" customWidth="1"/>
    <col min="1541" max="1541" width="16.7109375" style="343" bestFit="1" customWidth="1"/>
    <col min="1542" max="1542" width="17.28515625" style="343" bestFit="1" customWidth="1"/>
    <col min="1543" max="1543" width="17.28515625" style="343" customWidth="1"/>
    <col min="1544" max="1544" width="14.85546875" style="343" bestFit="1" customWidth="1"/>
    <col min="1545" max="1545" width="17.28515625" style="343" bestFit="1" customWidth="1"/>
    <col min="1546" max="1546" width="14.85546875" style="343" bestFit="1" customWidth="1"/>
    <col min="1547" max="1547" width="13.7109375" style="343" bestFit="1" customWidth="1"/>
    <col min="1548" max="1548" width="13.5703125" style="343" bestFit="1" customWidth="1"/>
    <col min="1549" max="1550" width="3.5703125" style="343" bestFit="1" customWidth="1"/>
    <col min="1551" max="1793" width="9.140625" style="343"/>
    <col min="1794" max="1794" width="12.140625" style="343" customWidth="1"/>
    <col min="1795" max="1795" width="30.85546875" style="343" bestFit="1" customWidth="1"/>
    <col min="1796" max="1796" width="10.5703125" style="343" bestFit="1" customWidth="1"/>
    <col min="1797" max="1797" width="16.7109375" style="343" bestFit="1" customWidth="1"/>
    <col min="1798" max="1798" width="17.28515625" style="343" bestFit="1" customWidth="1"/>
    <col min="1799" max="1799" width="17.28515625" style="343" customWidth="1"/>
    <col min="1800" max="1800" width="14.85546875" style="343" bestFit="1" customWidth="1"/>
    <col min="1801" max="1801" width="17.28515625" style="343" bestFit="1" customWidth="1"/>
    <col min="1802" max="1802" width="14.85546875" style="343" bestFit="1" customWidth="1"/>
    <col min="1803" max="1803" width="13.7109375" style="343" bestFit="1" customWidth="1"/>
    <col min="1804" max="1804" width="13.5703125" style="343" bestFit="1" customWidth="1"/>
    <col min="1805" max="1806" width="3.5703125" style="343" bestFit="1" customWidth="1"/>
    <col min="1807" max="2049" width="9.140625" style="343"/>
    <col min="2050" max="2050" width="12.140625" style="343" customWidth="1"/>
    <col min="2051" max="2051" width="30.85546875" style="343" bestFit="1" customWidth="1"/>
    <col min="2052" max="2052" width="10.5703125" style="343" bestFit="1" customWidth="1"/>
    <col min="2053" max="2053" width="16.7109375" style="343" bestFit="1" customWidth="1"/>
    <col min="2054" max="2054" width="17.28515625" style="343" bestFit="1" customWidth="1"/>
    <col min="2055" max="2055" width="17.28515625" style="343" customWidth="1"/>
    <col min="2056" max="2056" width="14.85546875" style="343" bestFit="1" customWidth="1"/>
    <col min="2057" max="2057" width="17.28515625" style="343" bestFit="1" customWidth="1"/>
    <col min="2058" max="2058" width="14.85546875" style="343" bestFit="1" customWidth="1"/>
    <col min="2059" max="2059" width="13.7109375" style="343" bestFit="1" customWidth="1"/>
    <col min="2060" max="2060" width="13.5703125" style="343" bestFit="1" customWidth="1"/>
    <col min="2061" max="2062" width="3.5703125" style="343" bestFit="1" customWidth="1"/>
    <col min="2063" max="2305" width="9.140625" style="343"/>
    <col min="2306" max="2306" width="12.140625" style="343" customWidth="1"/>
    <col min="2307" max="2307" width="30.85546875" style="343" bestFit="1" customWidth="1"/>
    <col min="2308" max="2308" width="10.5703125" style="343" bestFit="1" customWidth="1"/>
    <col min="2309" max="2309" width="16.7109375" style="343" bestFit="1" customWidth="1"/>
    <col min="2310" max="2310" width="17.28515625" style="343" bestFit="1" customWidth="1"/>
    <col min="2311" max="2311" width="17.28515625" style="343" customWidth="1"/>
    <col min="2312" max="2312" width="14.85546875" style="343" bestFit="1" customWidth="1"/>
    <col min="2313" max="2313" width="17.28515625" style="343" bestFit="1" customWidth="1"/>
    <col min="2314" max="2314" width="14.85546875" style="343" bestFit="1" customWidth="1"/>
    <col min="2315" max="2315" width="13.7109375" style="343" bestFit="1" customWidth="1"/>
    <col min="2316" max="2316" width="13.5703125" style="343" bestFit="1" customWidth="1"/>
    <col min="2317" max="2318" width="3.5703125" style="343" bestFit="1" customWidth="1"/>
    <col min="2319" max="2561" width="9.140625" style="343"/>
    <col min="2562" max="2562" width="12.140625" style="343" customWidth="1"/>
    <col min="2563" max="2563" width="30.85546875" style="343" bestFit="1" customWidth="1"/>
    <col min="2564" max="2564" width="10.5703125" style="343" bestFit="1" customWidth="1"/>
    <col min="2565" max="2565" width="16.7109375" style="343" bestFit="1" customWidth="1"/>
    <col min="2566" max="2566" width="17.28515625" style="343" bestFit="1" customWidth="1"/>
    <col min="2567" max="2567" width="17.28515625" style="343" customWidth="1"/>
    <col min="2568" max="2568" width="14.85546875" style="343" bestFit="1" customWidth="1"/>
    <col min="2569" max="2569" width="17.28515625" style="343" bestFit="1" customWidth="1"/>
    <col min="2570" max="2570" width="14.85546875" style="343" bestFit="1" customWidth="1"/>
    <col min="2571" max="2571" width="13.7109375" style="343" bestFit="1" customWidth="1"/>
    <col min="2572" max="2572" width="13.5703125" style="343" bestFit="1" customWidth="1"/>
    <col min="2573" max="2574" width="3.5703125" style="343" bestFit="1" customWidth="1"/>
    <col min="2575" max="2817" width="9.140625" style="343"/>
    <col min="2818" max="2818" width="12.140625" style="343" customWidth="1"/>
    <col min="2819" max="2819" width="30.85546875" style="343" bestFit="1" customWidth="1"/>
    <col min="2820" max="2820" width="10.5703125" style="343" bestFit="1" customWidth="1"/>
    <col min="2821" max="2821" width="16.7109375" style="343" bestFit="1" customWidth="1"/>
    <col min="2822" max="2822" width="17.28515625" style="343" bestFit="1" customWidth="1"/>
    <col min="2823" max="2823" width="17.28515625" style="343" customWidth="1"/>
    <col min="2824" max="2824" width="14.85546875" style="343" bestFit="1" customWidth="1"/>
    <col min="2825" max="2825" width="17.28515625" style="343" bestFit="1" customWidth="1"/>
    <col min="2826" max="2826" width="14.85546875" style="343" bestFit="1" customWidth="1"/>
    <col min="2827" max="2827" width="13.7109375" style="343" bestFit="1" customWidth="1"/>
    <col min="2828" max="2828" width="13.5703125" style="343" bestFit="1" customWidth="1"/>
    <col min="2829" max="2830" width="3.5703125" style="343" bestFit="1" customWidth="1"/>
    <col min="2831" max="3073" width="9.140625" style="343"/>
    <col min="3074" max="3074" width="12.140625" style="343" customWidth="1"/>
    <col min="3075" max="3075" width="30.85546875" style="343" bestFit="1" customWidth="1"/>
    <col min="3076" max="3076" width="10.5703125" style="343" bestFit="1" customWidth="1"/>
    <col min="3077" max="3077" width="16.7109375" style="343" bestFit="1" customWidth="1"/>
    <col min="3078" max="3078" width="17.28515625" style="343" bestFit="1" customWidth="1"/>
    <col min="3079" max="3079" width="17.28515625" style="343" customWidth="1"/>
    <col min="3080" max="3080" width="14.85546875" style="343" bestFit="1" customWidth="1"/>
    <col min="3081" max="3081" width="17.28515625" style="343" bestFit="1" customWidth="1"/>
    <col min="3082" max="3082" width="14.85546875" style="343" bestFit="1" customWidth="1"/>
    <col min="3083" max="3083" width="13.7109375" style="343" bestFit="1" customWidth="1"/>
    <col min="3084" max="3084" width="13.5703125" style="343" bestFit="1" customWidth="1"/>
    <col min="3085" max="3086" width="3.5703125" style="343" bestFit="1" customWidth="1"/>
    <col min="3087" max="3329" width="9.140625" style="343"/>
    <col min="3330" max="3330" width="12.140625" style="343" customWidth="1"/>
    <col min="3331" max="3331" width="30.85546875" style="343" bestFit="1" customWidth="1"/>
    <col min="3332" max="3332" width="10.5703125" style="343" bestFit="1" customWidth="1"/>
    <col min="3333" max="3333" width="16.7109375" style="343" bestFit="1" customWidth="1"/>
    <col min="3334" max="3334" width="17.28515625" style="343" bestFit="1" customWidth="1"/>
    <col min="3335" max="3335" width="17.28515625" style="343" customWidth="1"/>
    <col min="3336" max="3336" width="14.85546875" style="343" bestFit="1" customWidth="1"/>
    <col min="3337" max="3337" width="17.28515625" style="343" bestFit="1" customWidth="1"/>
    <col min="3338" max="3338" width="14.85546875" style="343" bestFit="1" customWidth="1"/>
    <col min="3339" max="3339" width="13.7109375" style="343" bestFit="1" customWidth="1"/>
    <col min="3340" max="3340" width="13.5703125" style="343" bestFit="1" customWidth="1"/>
    <col min="3341" max="3342" width="3.5703125" style="343" bestFit="1" customWidth="1"/>
    <col min="3343" max="3585" width="9.140625" style="343"/>
    <col min="3586" max="3586" width="12.140625" style="343" customWidth="1"/>
    <col min="3587" max="3587" width="30.85546875" style="343" bestFit="1" customWidth="1"/>
    <col min="3588" max="3588" width="10.5703125" style="343" bestFit="1" customWidth="1"/>
    <col min="3589" max="3589" width="16.7109375" style="343" bestFit="1" customWidth="1"/>
    <col min="3590" max="3590" width="17.28515625" style="343" bestFit="1" customWidth="1"/>
    <col min="3591" max="3591" width="17.28515625" style="343" customWidth="1"/>
    <col min="3592" max="3592" width="14.85546875" style="343" bestFit="1" customWidth="1"/>
    <col min="3593" max="3593" width="17.28515625" style="343" bestFit="1" customWidth="1"/>
    <col min="3594" max="3594" width="14.85546875" style="343" bestFit="1" customWidth="1"/>
    <col min="3595" max="3595" width="13.7109375" style="343" bestFit="1" customWidth="1"/>
    <col min="3596" max="3596" width="13.5703125" style="343" bestFit="1" customWidth="1"/>
    <col min="3597" max="3598" width="3.5703125" style="343" bestFit="1" customWidth="1"/>
    <col min="3599" max="3841" width="9.140625" style="343"/>
    <col min="3842" max="3842" width="12.140625" style="343" customWidth="1"/>
    <col min="3843" max="3843" width="30.85546875" style="343" bestFit="1" customWidth="1"/>
    <col min="3844" max="3844" width="10.5703125" style="343" bestFit="1" customWidth="1"/>
    <col min="3845" max="3845" width="16.7109375" style="343" bestFit="1" customWidth="1"/>
    <col min="3846" max="3846" width="17.28515625" style="343" bestFit="1" customWidth="1"/>
    <col min="3847" max="3847" width="17.28515625" style="343" customWidth="1"/>
    <col min="3848" max="3848" width="14.85546875" style="343" bestFit="1" customWidth="1"/>
    <col min="3849" max="3849" width="17.28515625" style="343" bestFit="1" customWidth="1"/>
    <col min="3850" max="3850" width="14.85546875" style="343" bestFit="1" customWidth="1"/>
    <col min="3851" max="3851" width="13.7109375" style="343" bestFit="1" customWidth="1"/>
    <col min="3852" max="3852" width="13.5703125" style="343" bestFit="1" customWidth="1"/>
    <col min="3853" max="3854" width="3.5703125" style="343" bestFit="1" customWidth="1"/>
    <col min="3855" max="4097" width="9.140625" style="343"/>
    <col min="4098" max="4098" width="12.140625" style="343" customWidth="1"/>
    <col min="4099" max="4099" width="30.85546875" style="343" bestFit="1" customWidth="1"/>
    <col min="4100" max="4100" width="10.5703125" style="343" bestFit="1" customWidth="1"/>
    <col min="4101" max="4101" width="16.7109375" style="343" bestFit="1" customWidth="1"/>
    <col min="4102" max="4102" width="17.28515625" style="343" bestFit="1" customWidth="1"/>
    <col min="4103" max="4103" width="17.28515625" style="343" customWidth="1"/>
    <col min="4104" max="4104" width="14.85546875" style="343" bestFit="1" customWidth="1"/>
    <col min="4105" max="4105" width="17.28515625" style="343" bestFit="1" customWidth="1"/>
    <col min="4106" max="4106" width="14.85546875" style="343" bestFit="1" customWidth="1"/>
    <col min="4107" max="4107" width="13.7109375" style="343" bestFit="1" customWidth="1"/>
    <col min="4108" max="4108" width="13.5703125" style="343" bestFit="1" customWidth="1"/>
    <col min="4109" max="4110" width="3.5703125" style="343" bestFit="1" customWidth="1"/>
    <col min="4111" max="4353" width="9.140625" style="343"/>
    <col min="4354" max="4354" width="12.140625" style="343" customWidth="1"/>
    <col min="4355" max="4355" width="30.85546875" style="343" bestFit="1" customWidth="1"/>
    <col min="4356" max="4356" width="10.5703125" style="343" bestFit="1" customWidth="1"/>
    <col min="4357" max="4357" width="16.7109375" style="343" bestFit="1" customWidth="1"/>
    <col min="4358" max="4358" width="17.28515625" style="343" bestFit="1" customWidth="1"/>
    <col min="4359" max="4359" width="17.28515625" style="343" customWidth="1"/>
    <col min="4360" max="4360" width="14.85546875" style="343" bestFit="1" customWidth="1"/>
    <col min="4361" max="4361" width="17.28515625" style="343" bestFit="1" customWidth="1"/>
    <col min="4362" max="4362" width="14.85546875" style="343" bestFit="1" customWidth="1"/>
    <col min="4363" max="4363" width="13.7109375" style="343" bestFit="1" customWidth="1"/>
    <col min="4364" max="4364" width="13.5703125" style="343" bestFit="1" customWidth="1"/>
    <col min="4365" max="4366" width="3.5703125" style="343" bestFit="1" customWidth="1"/>
    <col min="4367" max="4609" width="9.140625" style="343"/>
    <col min="4610" max="4610" width="12.140625" style="343" customWidth="1"/>
    <col min="4611" max="4611" width="30.85546875" style="343" bestFit="1" customWidth="1"/>
    <col min="4612" max="4612" width="10.5703125" style="343" bestFit="1" customWidth="1"/>
    <col min="4613" max="4613" width="16.7109375" style="343" bestFit="1" customWidth="1"/>
    <col min="4614" max="4614" width="17.28515625" style="343" bestFit="1" customWidth="1"/>
    <col min="4615" max="4615" width="17.28515625" style="343" customWidth="1"/>
    <col min="4616" max="4616" width="14.85546875" style="343" bestFit="1" customWidth="1"/>
    <col min="4617" max="4617" width="17.28515625" style="343" bestFit="1" customWidth="1"/>
    <col min="4618" max="4618" width="14.85546875" style="343" bestFit="1" customWidth="1"/>
    <col min="4619" max="4619" width="13.7109375" style="343" bestFit="1" customWidth="1"/>
    <col min="4620" max="4620" width="13.5703125" style="343" bestFit="1" customWidth="1"/>
    <col min="4621" max="4622" width="3.5703125" style="343" bestFit="1" customWidth="1"/>
    <col min="4623" max="4865" width="9.140625" style="343"/>
    <col min="4866" max="4866" width="12.140625" style="343" customWidth="1"/>
    <col min="4867" max="4867" width="30.85546875" style="343" bestFit="1" customWidth="1"/>
    <col min="4868" max="4868" width="10.5703125" style="343" bestFit="1" customWidth="1"/>
    <col min="4869" max="4869" width="16.7109375" style="343" bestFit="1" customWidth="1"/>
    <col min="4870" max="4870" width="17.28515625" style="343" bestFit="1" customWidth="1"/>
    <col min="4871" max="4871" width="17.28515625" style="343" customWidth="1"/>
    <col min="4872" max="4872" width="14.85546875" style="343" bestFit="1" customWidth="1"/>
    <col min="4873" max="4873" width="17.28515625" style="343" bestFit="1" customWidth="1"/>
    <col min="4874" max="4874" width="14.85546875" style="343" bestFit="1" customWidth="1"/>
    <col min="4875" max="4875" width="13.7109375" style="343" bestFit="1" customWidth="1"/>
    <col min="4876" max="4876" width="13.5703125" style="343" bestFit="1" customWidth="1"/>
    <col min="4877" max="4878" width="3.5703125" style="343" bestFit="1" customWidth="1"/>
    <col min="4879" max="5121" width="9.140625" style="343"/>
    <col min="5122" max="5122" width="12.140625" style="343" customWidth="1"/>
    <col min="5123" max="5123" width="30.85546875" style="343" bestFit="1" customWidth="1"/>
    <col min="5124" max="5124" width="10.5703125" style="343" bestFit="1" customWidth="1"/>
    <col min="5125" max="5125" width="16.7109375" style="343" bestFit="1" customWidth="1"/>
    <col min="5126" max="5126" width="17.28515625" style="343" bestFit="1" customWidth="1"/>
    <col min="5127" max="5127" width="17.28515625" style="343" customWidth="1"/>
    <col min="5128" max="5128" width="14.85546875" style="343" bestFit="1" customWidth="1"/>
    <col min="5129" max="5129" width="17.28515625" style="343" bestFit="1" customWidth="1"/>
    <col min="5130" max="5130" width="14.85546875" style="343" bestFit="1" customWidth="1"/>
    <col min="5131" max="5131" width="13.7109375" style="343" bestFit="1" customWidth="1"/>
    <col min="5132" max="5132" width="13.5703125" style="343" bestFit="1" customWidth="1"/>
    <col min="5133" max="5134" width="3.5703125" style="343" bestFit="1" customWidth="1"/>
    <col min="5135" max="5377" width="9.140625" style="343"/>
    <col min="5378" max="5378" width="12.140625" style="343" customWidth="1"/>
    <col min="5379" max="5379" width="30.85546875" style="343" bestFit="1" customWidth="1"/>
    <col min="5380" max="5380" width="10.5703125" style="343" bestFit="1" customWidth="1"/>
    <col min="5381" max="5381" width="16.7109375" style="343" bestFit="1" customWidth="1"/>
    <col min="5382" max="5382" width="17.28515625" style="343" bestFit="1" customWidth="1"/>
    <col min="5383" max="5383" width="17.28515625" style="343" customWidth="1"/>
    <col min="5384" max="5384" width="14.85546875" style="343" bestFit="1" customWidth="1"/>
    <col min="5385" max="5385" width="17.28515625" style="343" bestFit="1" customWidth="1"/>
    <col min="5386" max="5386" width="14.85546875" style="343" bestFit="1" customWidth="1"/>
    <col min="5387" max="5387" width="13.7109375" style="343" bestFit="1" customWidth="1"/>
    <col min="5388" max="5388" width="13.5703125" style="343" bestFit="1" customWidth="1"/>
    <col min="5389" max="5390" width="3.5703125" style="343" bestFit="1" customWidth="1"/>
    <col min="5391" max="5633" width="9.140625" style="343"/>
    <col min="5634" max="5634" width="12.140625" style="343" customWidth="1"/>
    <col min="5635" max="5635" width="30.85546875" style="343" bestFit="1" customWidth="1"/>
    <col min="5636" max="5636" width="10.5703125" style="343" bestFit="1" customWidth="1"/>
    <col min="5637" max="5637" width="16.7109375" style="343" bestFit="1" customWidth="1"/>
    <col min="5638" max="5638" width="17.28515625" style="343" bestFit="1" customWidth="1"/>
    <col min="5639" max="5639" width="17.28515625" style="343" customWidth="1"/>
    <col min="5640" max="5640" width="14.85546875" style="343" bestFit="1" customWidth="1"/>
    <col min="5641" max="5641" width="17.28515625" style="343" bestFit="1" customWidth="1"/>
    <col min="5642" max="5642" width="14.85546875" style="343" bestFit="1" customWidth="1"/>
    <col min="5643" max="5643" width="13.7109375" style="343" bestFit="1" customWidth="1"/>
    <col min="5644" max="5644" width="13.5703125" style="343" bestFit="1" customWidth="1"/>
    <col min="5645" max="5646" width="3.5703125" style="343" bestFit="1" customWidth="1"/>
    <col min="5647" max="5889" width="9.140625" style="343"/>
    <col min="5890" max="5890" width="12.140625" style="343" customWidth="1"/>
    <col min="5891" max="5891" width="30.85546875" style="343" bestFit="1" customWidth="1"/>
    <col min="5892" max="5892" width="10.5703125" style="343" bestFit="1" customWidth="1"/>
    <col min="5893" max="5893" width="16.7109375" style="343" bestFit="1" customWidth="1"/>
    <col min="5894" max="5894" width="17.28515625" style="343" bestFit="1" customWidth="1"/>
    <col min="5895" max="5895" width="17.28515625" style="343" customWidth="1"/>
    <col min="5896" max="5896" width="14.85546875" style="343" bestFit="1" customWidth="1"/>
    <col min="5897" max="5897" width="17.28515625" style="343" bestFit="1" customWidth="1"/>
    <col min="5898" max="5898" width="14.85546875" style="343" bestFit="1" customWidth="1"/>
    <col min="5899" max="5899" width="13.7109375" style="343" bestFit="1" customWidth="1"/>
    <col min="5900" max="5900" width="13.5703125" style="343" bestFit="1" customWidth="1"/>
    <col min="5901" max="5902" width="3.5703125" style="343" bestFit="1" customWidth="1"/>
    <col min="5903" max="6145" width="9.140625" style="343"/>
    <col min="6146" max="6146" width="12.140625" style="343" customWidth="1"/>
    <col min="6147" max="6147" width="30.85546875" style="343" bestFit="1" customWidth="1"/>
    <col min="6148" max="6148" width="10.5703125" style="343" bestFit="1" customWidth="1"/>
    <col min="6149" max="6149" width="16.7109375" style="343" bestFit="1" customWidth="1"/>
    <col min="6150" max="6150" width="17.28515625" style="343" bestFit="1" customWidth="1"/>
    <col min="6151" max="6151" width="17.28515625" style="343" customWidth="1"/>
    <col min="6152" max="6152" width="14.85546875" style="343" bestFit="1" customWidth="1"/>
    <col min="6153" max="6153" width="17.28515625" style="343" bestFit="1" customWidth="1"/>
    <col min="6154" max="6154" width="14.85546875" style="343" bestFit="1" customWidth="1"/>
    <col min="6155" max="6155" width="13.7109375" style="343" bestFit="1" customWidth="1"/>
    <col min="6156" max="6156" width="13.5703125" style="343" bestFit="1" customWidth="1"/>
    <col min="6157" max="6158" width="3.5703125" style="343" bestFit="1" customWidth="1"/>
    <col min="6159" max="6401" width="9.140625" style="343"/>
    <col min="6402" max="6402" width="12.140625" style="343" customWidth="1"/>
    <col min="6403" max="6403" width="30.85546875" style="343" bestFit="1" customWidth="1"/>
    <col min="6404" max="6404" width="10.5703125" style="343" bestFit="1" customWidth="1"/>
    <col min="6405" max="6405" width="16.7109375" style="343" bestFit="1" customWidth="1"/>
    <col min="6406" max="6406" width="17.28515625" style="343" bestFit="1" customWidth="1"/>
    <col min="6407" max="6407" width="17.28515625" style="343" customWidth="1"/>
    <col min="6408" max="6408" width="14.85546875" style="343" bestFit="1" customWidth="1"/>
    <col min="6409" max="6409" width="17.28515625" style="343" bestFit="1" customWidth="1"/>
    <col min="6410" max="6410" width="14.85546875" style="343" bestFit="1" customWidth="1"/>
    <col min="6411" max="6411" width="13.7109375" style="343" bestFit="1" customWidth="1"/>
    <col min="6412" max="6412" width="13.5703125" style="343" bestFit="1" customWidth="1"/>
    <col min="6413" max="6414" width="3.5703125" style="343" bestFit="1" customWidth="1"/>
    <col min="6415" max="6657" width="9.140625" style="343"/>
    <col min="6658" max="6658" width="12.140625" style="343" customWidth="1"/>
    <col min="6659" max="6659" width="30.85546875" style="343" bestFit="1" customWidth="1"/>
    <col min="6660" max="6660" width="10.5703125" style="343" bestFit="1" customWidth="1"/>
    <col min="6661" max="6661" width="16.7109375" style="343" bestFit="1" customWidth="1"/>
    <col min="6662" max="6662" width="17.28515625" style="343" bestFit="1" customWidth="1"/>
    <col min="6663" max="6663" width="17.28515625" style="343" customWidth="1"/>
    <col min="6664" max="6664" width="14.85546875" style="343" bestFit="1" customWidth="1"/>
    <col min="6665" max="6665" width="17.28515625" style="343" bestFit="1" customWidth="1"/>
    <col min="6666" max="6666" width="14.85546875" style="343" bestFit="1" customWidth="1"/>
    <col min="6667" max="6667" width="13.7109375" style="343" bestFit="1" customWidth="1"/>
    <col min="6668" max="6668" width="13.5703125" style="343" bestFit="1" customWidth="1"/>
    <col min="6669" max="6670" width="3.5703125" style="343" bestFit="1" customWidth="1"/>
    <col min="6671" max="6913" width="9.140625" style="343"/>
    <col min="6914" max="6914" width="12.140625" style="343" customWidth="1"/>
    <col min="6915" max="6915" width="30.85546875" style="343" bestFit="1" customWidth="1"/>
    <col min="6916" max="6916" width="10.5703125" style="343" bestFit="1" customWidth="1"/>
    <col min="6917" max="6917" width="16.7109375" style="343" bestFit="1" customWidth="1"/>
    <col min="6918" max="6918" width="17.28515625" style="343" bestFit="1" customWidth="1"/>
    <col min="6919" max="6919" width="17.28515625" style="343" customWidth="1"/>
    <col min="6920" max="6920" width="14.85546875" style="343" bestFit="1" customWidth="1"/>
    <col min="6921" max="6921" width="17.28515625" style="343" bestFit="1" customWidth="1"/>
    <col min="6922" max="6922" width="14.85546875" style="343" bestFit="1" customWidth="1"/>
    <col min="6923" max="6923" width="13.7109375" style="343" bestFit="1" customWidth="1"/>
    <col min="6924" max="6924" width="13.5703125" style="343" bestFit="1" customWidth="1"/>
    <col min="6925" max="6926" width="3.5703125" style="343" bestFit="1" customWidth="1"/>
    <col min="6927" max="7169" width="9.140625" style="343"/>
    <col min="7170" max="7170" width="12.140625" style="343" customWidth="1"/>
    <col min="7171" max="7171" width="30.85546875" style="343" bestFit="1" customWidth="1"/>
    <col min="7172" max="7172" width="10.5703125" style="343" bestFit="1" customWidth="1"/>
    <col min="7173" max="7173" width="16.7109375" style="343" bestFit="1" customWidth="1"/>
    <col min="7174" max="7174" width="17.28515625" style="343" bestFit="1" customWidth="1"/>
    <col min="7175" max="7175" width="17.28515625" style="343" customWidth="1"/>
    <col min="7176" max="7176" width="14.85546875" style="343" bestFit="1" customWidth="1"/>
    <col min="7177" max="7177" width="17.28515625" style="343" bestFit="1" customWidth="1"/>
    <col min="7178" max="7178" width="14.85546875" style="343" bestFit="1" customWidth="1"/>
    <col min="7179" max="7179" width="13.7109375" style="343" bestFit="1" customWidth="1"/>
    <col min="7180" max="7180" width="13.5703125" style="343" bestFit="1" customWidth="1"/>
    <col min="7181" max="7182" width="3.5703125" style="343" bestFit="1" customWidth="1"/>
    <col min="7183" max="7425" width="9.140625" style="343"/>
    <col min="7426" max="7426" width="12.140625" style="343" customWidth="1"/>
    <col min="7427" max="7427" width="30.85546875" style="343" bestFit="1" customWidth="1"/>
    <col min="7428" max="7428" width="10.5703125" style="343" bestFit="1" customWidth="1"/>
    <col min="7429" max="7429" width="16.7109375" style="343" bestFit="1" customWidth="1"/>
    <col min="7430" max="7430" width="17.28515625" style="343" bestFit="1" customWidth="1"/>
    <col min="7431" max="7431" width="17.28515625" style="343" customWidth="1"/>
    <col min="7432" max="7432" width="14.85546875" style="343" bestFit="1" customWidth="1"/>
    <col min="7433" max="7433" width="17.28515625" style="343" bestFit="1" customWidth="1"/>
    <col min="7434" max="7434" width="14.85546875" style="343" bestFit="1" customWidth="1"/>
    <col min="7435" max="7435" width="13.7109375" style="343" bestFit="1" customWidth="1"/>
    <col min="7436" max="7436" width="13.5703125" style="343" bestFit="1" customWidth="1"/>
    <col min="7437" max="7438" width="3.5703125" style="343" bestFit="1" customWidth="1"/>
    <col min="7439" max="7681" width="9.140625" style="343"/>
    <col min="7682" max="7682" width="12.140625" style="343" customWidth="1"/>
    <col min="7683" max="7683" width="30.85546875" style="343" bestFit="1" customWidth="1"/>
    <col min="7684" max="7684" width="10.5703125" style="343" bestFit="1" customWidth="1"/>
    <col min="7685" max="7685" width="16.7109375" style="343" bestFit="1" customWidth="1"/>
    <col min="7686" max="7686" width="17.28515625" style="343" bestFit="1" customWidth="1"/>
    <col min="7687" max="7687" width="17.28515625" style="343" customWidth="1"/>
    <col min="7688" max="7688" width="14.85546875" style="343" bestFit="1" customWidth="1"/>
    <col min="7689" max="7689" width="17.28515625" style="343" bestFit="1" customWidth="1"/>
    <col min="7690" max="7690" width="14.85546875" style="343" bestFit="1" customWidth="1"/>
    <col min="7691" max="7691" width="13.7109375" style="343" bestFit="1" customWidth="1"/>
    <col min="7692" max="7692" width="13.5703125" style="343" bestFit="1" customWidth="1"/>
    <col min="7693" max="7694" width="3.5703125" style="343" bestFit="1" customWidth="1"/>
    <col min="7695" max="7937" width="9.140625" style="343"/>
    <col min="7938" max="7938" width="12.140625" style="343" customWidth="1"/>
    <col min="7939" max="7939" width="30.85546875" style="343" bestFit="1" customWidth="1"/>
    <col min="7940" max="7940" width="10.5703125" style="343" bestFit="1" customWidth="1"/>
    <col min="7941" max="7941" width="16.7109375" style="343" bestFit="1" customWidth="1"/>
    <col min="7942" max="7942" width="17.28515625" style="343" bestFit="1" customWidth="1"/>
    <col min="7943" max="7943" width="17.28515625" style="343" customWidth="1"/>
    <col min="7944" max="7944" width="14.85546875" style="343" bestFit="1" customWidth="1"/>
    <col min="7945" max="7945" width="17.28515625" style="343" bestFit="1" customWidth="1"/>
    <col min="7946" max="7946" width="14.85546875" style="343" bestFit="1" customWidth="1"/>
    <col min="7947" max="7947" width="13.7109375" style="343" bestFit="1" customWidth="1"/>
    <col min="7948" max="7948" width="13.5703125" style="343" bestFit="1" customWidth="1"/>
    <col min="7949" max="7950" width="3.5703125" style="343" bestFit="1" customWidth="1"/>
    <col min="7951" max="8193" width="9.140625" style="343"/>
    <col min="8194" max="8194" width="12.140625" style="343" customWidth="1"/>
    <col min="8195" max="8195" width="30.85546875" style="343" bestFit="1" customWidth="1"/>
    <col min="8196" max="8196" width="10.5703125" style="343" bestFit="1" customWidth="1"/>
    <col min="8197" max="8197" width="16.7109375" style="343" bestFit="1" customWidth="1"/>
    <col min="8198" max="8198" width="17.28515625" style="343" bestFit="1" customWidth="1"/>
    <col min="8199" max="8199" width="17.28515625" style="343" customWidth="1"/>
    <col min="8200" max="8200" width="14.85546875" style="343" bestFit="1" customWidth="1"/>
    <col min="8201" max="8201" width="17.28515625" style="343" bestFit="1" customWidth="1"/>
    <col min="8202" max="8202" width="14.85546875" style="343" bestFit="1" customWidth="1"/>
    <col min="8203" max="8203" width="13.7109375" style="343" bestFit="1" customWidth="1"/>
    <col min="8204" max="8204" width="13.5703125" style="343" bestFit="1" customWidth="1"/>
    <col min="8205" max="8206" width="3.5703125" style="343" bestFit="1" customWidth="1"/>
    <col min="8207" max="8449" width="9.140625" style="343"/>
    <col min="8450" max="8450" width="12.140625" style="343" customWidth="1"/>
    <col min="8451" max="8451" width="30.85546875" style="343" bestFit="1" customWidth="1"/>
    <col min="8452" max="8452" width="10.5703125" style="343" bestFit="1" customWidth="1"/>
    <col min="8453" max="8453" width="16.7109375" style="343" bestFit="1" customWidth="1"/>
    <col min="8454" max="8454" width="17.28515625" style="343" bestFit="1" customWidth="1"/>
    <col min="8455" max="8455" width="17.28515625" style="343" customWidth="1"/>
    <col min="8456" max="8456" width="14.85546875" style="343" bestFit="1" customWidth="1"/>
    <col min="8457" max="8457" width="17.28515625" style="343" bestFit="1" customWidth="1"/>
    <col min="8458" max="8458" width="14.85546875" style="343" bestFit="1" customWidth="1"/>
    <col min="8459" max="8459" width="13.7109375" style="343" bestFit="1" customWidth="1"/>
    <col min="8460" max="8460" width="13.5703125" style="343" bestFit="1" customWidth="1"/>
    <col min="8461" max="8462" width="3.5703125" style="343" bestFit="1" customWidth="1"/>
    <col min="8463" max="8705" width="9.140625" style="343"/>
    <col min="8706" max="8706" width="12.140625" style="343" customWidth="1"/>
    <col min="8707" max="8707" width="30.85546875" style="343" bestFit="1" customWidth="1"/>
    <col min="8708" max="8708" width="10.5703125" style="343" bestFit="1" customWidth="1"/>
    <col min="8709" max="8709" width="16.7109375" style="343" bestFit="1" customWidth="1"/>
    <col min="8710" max="8710" width="17.28515625" style="343" bestFit="1" customWidth="1"/>
    <col min="8711" max="8711" width="17.28515625" style="343" customWidth="1"/>
    <col min="8712" max="8712" width="14.85546875" style="343" bestFit="1" customWidth="1"/>
    <col min="8713" max="8713" width="17.28515625" style="343" bestFit="1" customWidth="1"/>
    <col min="8714" max="8714" width="14.85546875" style="343" bestFit="1" customWidth="1"/>
    <col min="8715" max="8715" width="13.7109375" style="343" bestFit="1" customWidth="1"/>
    <col min="8716" max="8716" width="13.5703125" style="343" bestFit="1" customWidth="1"/>
    <col min="8717" max="8718" width="3.5703125" style="343" bestFit="1" customWidth="1"/>
    <col min="8719" max="8961" width="9.140625" style="343"/>
    <col min="8962" max="8962" width="12.140625" style="343" customWidth="1"/>
    <col min="8963" max="8963" width="30.85546875" style="343" bestFit="1" customWidth="1"/>
    <col min="8964" max="8964" width="10.5703125" style="343" bestFit="1" customWidth="1"/>
    <col min="8965" max="8965" width="16.7109375" style="343" bestFit="1" customWidth="1"/>
    <col min="8966" max="8966" width="17.28515625" style="343" bestFit="1" customWidth="1"/>
    <col min="8967" max="8967" width="17.28515625" style="343" customWidth="1"/>
    <col min="8968" max="8968" width="14.85546875" style="343" bestFit="1" customWidth="1"/>
    <col min="8969" max="8969" width="17.28515625" style="343" bestFit="1" customWidth="1"/>
    <col min="8970" max="8970" width="14.85546875" style="343" bestFit="1" customWidth="1"/>
    <col min="8971" max="8971" width="13.7109375" style="343" bestFit="1" customWidth="1"/>
    <col min="8972" max="8972" width="13.5703125" style="343" bestFit="1" customWidth="1"/>
    <col min="8973" max="8974" width="3.5703125" style="343" bestFit="1" customWidth="1"/>
    <col min="8975" max="9217" width="9.140625" style="343"/>
    <col min="9218" max="9218" width="12.140625" style="343" customWidth="1"/>
    <col min="9219" max="9219" width="30.85546875" style="343" bestFit="1" customWidth="1"/>
    <col min="9220" max="9220" width="10.5703125" style="343" bestFit="1" customWidth="1"/>
    <col min="9221" max="9221" width="16.7109375" style="343" bestFit="1" customWidth="1"/>
    <col min="9222" max="9222" width="17.28515625" style="343" bestFit="1" customWidth="1"/>
    <col min="9223" max="9223" width="17.28515625" style="343" customWidth="1"/>
    <col min="9224" max="9224" width="14.85546875" style="343" bestFit="1" customWidth="1"/>
    <col min="9225" max="9225" width="17.28515625" style="343" bestFit="1" customWidth="1"/>
    <col min="9226" max="9226" width="14.85546875" style="343" bestFit="1" customWidth="1"/>
    <col min="9227" max="9227" width="13.7109375" style="343" bestFit="1" customWidth="1"/>
    <col min="9228" max="9228" width="13.5703125" style="343" bestFit="1" customWidth="1"/>
    <col min="9229" max="9230" width="3.5703125" style="343" bestFit="1" customWidth="1"/>
    <col min="9231" max="9473" width="9.140625" style="343"/>
    <col min="9474" max="9474" width="12.140625" style="343" customWidth="1"/>
    <col min="9475" max="9475" width="30.85546875" style="343" bestFit="1" customWidth="1"/>
    <col min="9476" max="9476" width="10.5703125" style="343" bestFit="1" customWidth="1"/>
    <col min="9477" max="9477" width="16.7109375" style="343" bestFit="1" customWidth="1"/>
    <col min="9478" max="9478" width="17.28515625" style="343" bestFit="1" customWidth="1"/>
    <col min="9479" max="9479" width="17.28515625" style="343" customWidth="1"/>
    <col min="9480" max="9480" width="14.85546875" style="343" bestFit="1" customWidth="1"/>
    <col min="9481" max="9481" width="17.28515625" style="343" bestFit="1" customWidth="1"/>
    <col min="9482" max="9482" width="14.85546875" style="343" bestFit="1" customWidth="1"/>
    <col min="9483" max="9483" width="13.7109375" style="343" bestFit="1" customWidth="1"/>
    <col min="9484" max="9484" width="13.5703125" style="343" bestFit="1" customWidth="1"/>
    <col min="9485" max="9486" width="3.5703125" style="343" bestFit="1" customWidth="1"/>
    <col min="9487" max="9729" width="9.140625" style="343"/>
    <col min="9730" max="9730" width="12.140625" style="343" customWidth="1"/>
    <col min="9731" max="9731" width="30.85546875" style="343" bestFit="1" customWidth="1"/>
    <col min="9732" max="9732" width="10.5703125" style="343" bestFit="1" customWidth="1"/>
    <col min="9733" max="9733" width="16.7109375" style="343" bestFit="1" customWidth="1"/>
    <col min="9734" max="9734" width="17.28515625" style="343" bestFit="1" customWidth="1"/>
    <col min="9735" max="9735" width="17.28515625" style="343" customWidth="1"/>
    <col min="9736" max="9736" width="14.85546875" style="343" bestFit="1" customWidth="1"/>
    <col min="9737" max="9737" width="17.28515625" style="343" bestFit="1" customWidth="1"/>
    <col min="9738" max="9738" width="14.85546875" style="343" bestFit="1" customWidth="1"/>
    <col min="9739" max="9739" width="13.7109375" style="343" bestFit="1" customWidth="1"/>
    <col min="9740" max="9740" width="13.5703125" style="343" bestFit="1" customWidth="1"/>
    <col min="9741" max="9742" width="3.5703125" style="343" bestFit="1" customWidth="1"/>
    <col min="9743" max="9985" width="9.140625" style="343"/>
    <col min="9986" max="9986" width="12.140625" style="343" customWidth="1"/>
    <col min="9987" max="9987" width="30.85546875" style="343" bestFit="1" customWidth="1"/>
    <col min="9988" max="9988" width="10.5703125" style="343" bestFit="1" customWidth="1"/>
    <col min="9989" max="9989" width="16.7109375" style="343" bestFit="1" customWidth="1"/>
    <col min="9990" max="9990" width="17.28515625" style="343" bestFit="1" customWidth="1"/>
    <col min="9991" max="9991" width="17.28515625" style="343" customWidth="1"/>
    <col min="9992" max="9992" width="14.85546875" style="343" bestFit="1" customWidth="1"/>
    <col min="9993" max="9993" width="17.28515625" style="343" bestFit="1" customWidth="1"/>
    <col min="9994" max="9994" width="14.85546875" style="343" bestFit="1" customWidth="1"/>
    <col min="9995" max="9995" width="13.7109375" style="343" bestFit="1" customWidth="1"/>
    <col min="9996" max="9996" width="13.5703125" style="343" bestFit="1" customWidth="1"/>
    <col min="9997" max="9998" width="3.5703125" style="343" bestFit="1" customWidth="1"/>
    <col min="9999" max="10241" width="9.140625" style="343"/>
    <col min="10242" max="10242" width="12.140625" style="343" customWidth="1"/>
    <col min="10243" max="10243" width="30.85546875" style="343" bestFit="1" customWidth="1"/>
    <col min="10244" max="10244" width="10.5703125" style="343" bestFit="1" customWidth="1"/>
    <col min="10245" max="10245" width="16.7109375" style="343" bestFit="1" customWidth="1"/>
    <col min="10246" max="10246" width="17.28515625" style="343" bestFit="1" customWidth="1"/>
    <col min="10247" max="10247" width="17.28515625" style="343" customWidth="1"/>
    <col min="10248" max="10248" width="14.85546875" style="343" bestFit="1" customWidth="1"/>
    <col min="10249" max="10249" width="17.28515625" style="343" bestFit="1" customWidth="1"/>
    <col min="10250" max="10250" width="14.85546875" style="343" bestFit="1" customWidth="1"/>
    <col min="10251" max="10251" width="13.7109375" style="343" bestFit="1" customWidth="1"/>
    <col min="10252" max="10252" width="13.5703125" style="343" bestFit="1" customWidth="1"/>
    <col min="10253" max="10254" width="3.5703125" style="343" bestFit="1" customWidth="1"/>
    <col min="10255" max="10497" width="9.140625" style="343"/>
    <col min="10498" max="10498" width="12.140625" style="343" customWidth="1"/>
    <col min="10499" max="10499" width="30.85546875" style="343" bestFit="1" customWidth="1"/>
    <col min="10500" max="10500" width="10.5703125" style="343" bestFit="1" customWidth="1"/>
    <col min="10501" max="10501" width="16.7109375" style="343" bestFit="1" customWidth="1"/>
    <col min="10502" max="10502" width="17.28515625" style="343" bestFit="1" customWidth="1"/>
    <col min="10503" max="10503" width="17.28515625" style="343" customWidth="1"/>
    <col min="10504" max="10504" width="14.85546875" style="343" bestFit="1" customWidth="1"/>
    <col min="10505" max="10505" width="17.28515625" style="343" bestFit="1" customWidth="1"/>
    <col min="10506" max="10506" width="14.85546875" style="343" bestFit="1" customWidth="1"/>
    <col min="10507" max="10507" width="13.7109375" style="343" bestFit="1" customWidth="1"/>
    <col min="10508" max="10508" width="13.5703125" style="343" bestFit="1" customWidth="1"/>
    <col min="10509" max="10510" width="3.5703125" style="343" bestFit="1" customWidth="1"/>
    <col min="10511" max="10753" width="9.140625" style="343"/>
    <col min="10754" max="10754" width="12.140625" style="343" customWidth="1"/>
    <col min="10755" max="10755" width="30.85546875" style="343" bestFit="1" customWidth="1"/>
    <col min="10756" max="10756" width="10.5703125" style="343" bestFit="1" customWidth="1"/>
    <col min="10757" max="10757" width="16.7109375" style="343" bestFit="1" customWidth="1"/>
    <col min="10758" max="10758" width="17.28515625" style="343" bestFit="1" customWidth="1"/>
    <col min="10759" max="10759" width="17.28515625" style="343" customWidth="1"/>
    <col min="10760" max="10760" width="14.85546875" style="343" bestFit="1" customWidth="1"/>
    <col min="10761" max="10761" width="17.28515625" style="343" bestFit="1" customWidth="1"/>
    <col min="10762" max="10762" width="14.85546875" style="343" bestFit="1" customWidth="1"/>
    <col min="10763" max="10763" width="13.7109375" style="343" bestFit="1" customWidth="1"/>
    <col min="10764" max="10764" width="13.5703125" style="343" bestFit="1" customWidth="1"/>
    <col min="10765" max="10766" width="3.5703125" style="343" bestFit="1" customWidth="1"/>
    <col min="10767" max="11009" width="9.140625" style="343"/>
    <col min="11010" max="11010" width="12.140625" style="343" customWidth="1"/>
    <col min="11011" max="11011" width="30.85546875" style="343" bestFit="1" customWidth="1"/>
    <col min="11012" max="11012" width="10.5703125" style="343" bestFit="1" customWidth="1"/>
    <col min="11013" max="11013" width="16.7109375" style="343" bestFit="1" customWidth="1"/>
    <col min="11014" max="11014" width="17.28515625" style="343" bestFit="1" customWidth="1"/>
    <col min="11015" max="11015" width="17.28515625" style="343" customWidth="1"/>
    <col min="11016" max="11016" width="14.85546875" style="343" bestFit="1" customWidth="1"/>
    <col min="11017" max="11017" width="17.28515625" style="343" bestFit="1" customWidth="1"/>
    <col min="11018" max="11018" width="14.85546875" style="343" bestFit="1" customWidth="1"/>
    <col min="11019" max="11019" width="13.7109375" style="343" bestFit="1" customWidth="1"/>
    <col min="11020" max="11020" width="13.5703125" style="343" bestFit="1" customWidth="1"/>
    <col min="11021" max="11022" width="3.5703125" style="343" bestFit="1" customWidth="1"/>
    <col min="11023" max="11265" width="9.140625" style="343"/>
    <col min="11266" max="11266" width="12.140625" style="343" customWidth="1"/>
    <col min="11267" max="11267" width="30.85546875" style="343" bestFit="1" customWidth="1"/>
    <col min="11268" max="11268" width="10.5703125" style="343" bestFit="1" customWidth="1"/>
    <col min="11269" max="11269" width="16.7109375" style="343" bestFit="1" customWidth="1"/>
    <col min="11270" max="11270" width="17.28515625" style="343" bestFit="1" customWidth="1"/>
    <col min="11271" max="11271" width="17.28515625" style="343" customWidth="1"/>
    <col min="11272" max="11272" width="14.85546875" style="343" bestFit="1" customWidth="1"/>
    <col min="11273" max="11273" width="17.28515625" style="343" bestFit="1" customWidth="1"/>
    <col min="11274" max="11274" width="14.85546875" style="343" bestFit="1" customWidth="1"/>
    <col min="11275" max="11275" width="13.7109375" style="343" bestFit="1" customWidth="1"/>
    <col min="11276" max="11276" width="13.5703125" style="343" bestFit="1" customWidth="1"/>
    <col min="11277" max="11278" width="3.5703125" style="343" bestFit="1" customWidth="1"/>
    <col min="11279" max="11521" width="9.140625" style="343"/>
    <col min="11522" max="11522" width="12.140625" style="343" customWidth="1"/>
    <col min="11523" max="11523" width="30.85546875" style="343" bestFit="1" customWidth="1"/>
    <col min="11524" max="11524" width="10.5703125" style="343" bestFit="1" customWidth="1"/>
    <col min="11525" max="11525" width="16.7109375" style="343" bestFit="1" customWidth="1"/>
    <col min="11526" max="11526" width="17.28515625" style="343" bestFit="1" customWidth="1"/>
    <col min="11527" max="11527" width="17.28515625" style="343" customWidth="1"/>
    <col min="11528" max="11528" width="14.85546875" style="343" bestFit="1" customWidth="1"/>
    <col min="11529" max="11529" width="17.28515625" style="343" bestFit="1" customWidth="1"/>
    <col min="11530" max="11530" width="14.85546875" style="343" bestFit="1" customWidth="1"/>
    <col min="11531" max="11531" width="13.7109375" style="343" bestFit="1" customWidth="1"/>
    <col min="11532" max="11532" width="13.5703125" style="343" bestFit="1" customWidth="1"/>
    <col min="11533" max="11534" width="3.5703125" style="343" bestFit="1" customWidth="1"/>
    <col min="11535" max="11777" width="9.140625" style="343"/>
    <col min="11778" max="11778" width="12.140625" style="343" customWidth="1"/>
    <col min="11779" max="11779" width="30.85546875" style="343" bestFit="1" customWidth="1"/>
    <col min="11780" max="11780" width="10.5703125" style="343" bestFit="1" customWidth="1"/>
    <col min="11781" max="11781" width="16.7109375" style="343" bestFit="1" customWidth="1"/>
    <col min="11782" max="11782" width="17.28515625" style="343" bestFit="1" customWidth="1"/>
    <col min="11783" max="11783" width="17.28515625" style="343" customWidth="1"/>
    <col min="11784" max="11784" width="14.85546875" style="343" bestFit="1" customWidth="1"/>
    <col min="11785" max="11785" width="17.28515625" style="343" bestFit="1" customWidth="1"/>
    <col min="11786" max="11786" width="14.85546875" style="343" bestFit="1" customWidth="1"/>
    <col min="11787" max="11787" width="13.7109375" style="343" bestFit="1" customWidth="1"/>
    <col min="11788" max="11788" width="13.5703125" style="343" bestFit="1" customWidth="1"/>
    <col min="11789" max="11790" width="3.5703125" style="343" bestFit="1" customWidth="1"/>
    <col min="11791" max="12033" width="9.140625" style="343"/>
    <col min="12034" max="12034" width="12.140625" style="343" customWidth="1"/>
    <col min="12035" max="12035" width="30.85546875" style="343" bestFit="1" customWidth="1"/>
    <col min="12036" max="12036" width="10.5703125" style="343" bestFit="1" customWidth="1"/>
    <col min="12037" max="12037" width="16.7109375" style="343" bestFit="1" customWidth="1"/>
    <col min="12038" max="12038" width="17.28515625" style="343" bestFit="1" customWidth="1"/>
    <col min="12039" max="12039" width="17.28515625" style="343" customWidth="1"/>
    <col min="12040" max="12040" width="14.85546875" style="343" bestFit="1" customWidth="1"/>
    <col min="12041" max="12041" width="17.28515625" style="343" bestFit="1" customWidth="1"/>
    <col min="12042" max="12042" width="14.85546875" style="343" bestFit="1" customWidth="1"/>
    <col min="12043" max="12043" width="13.7109375" style="343" bestFit="1" customWidth="1"/>
    <col min="12044" max="12044" width="13.5703125" style="343" bestFit="1" customWidth="1"/>
    <col min="12045" max="12046" width="3.5703125" style="343" bestFit="1" customWidth="1"/>
    <col min="12047" max="12289" width="9.140625" style="343"/>
    <col min="12290" max="12290" width="12.140625" style="343" customWidth="1"/>
    <col min="12291" max="12291" width="30.85546875" style="343" bestFit="1" customWidth="1"/>
    <col min="12292" max="12292" width="10.5703125" style="343" bestFit="1" customWidth="1"/>
    <col min="12293" max="12293" width="16.7109375" style="343" bestFit="1" customWidth="1"/>
    <col min="12294" max="12294" width="17.28515625" style="343" bestFit="1" customWidth="1"/>
    <col min="12295" max="12295" width="17.28515625" style="343" customWidth="1"/>
    <col min="12296" max="12296" width="14.85546875" style="343" bestFit="1" customWidth="1"/>
    <col min="12297" max="12297" width="17.28515625" style="343" bestFit="1" customWidth="1"/>
    <col min="12298" max="12298" width="14.85546875" style="343" bestFit="1" customWidth="1"/>
    <col min="12299" max="12299" width="13.7109375" style="343" bestFit="1" customWidth="1"/>
    <col min="12300" max="12300" width="13.5703125" style="343" bestFit="1" customWidth="1"/>
    <col min="12301" max="12302" width="3.5703125" style="343" bestFit="1" customWidth="1"/>
    <col min="12303" max="12545" width="9.140625" style="343"/>
    <col min="12546" max="12546" width="12.140625" style="343" customWidth="1"/>
    <col min="12547" max="12547" width="30.85546875" style="343" bestFit="1" customWidth="1"/>
    <col min="12548" max="12548" width="10.5703125" style="343" bestFit="1" customWidth="1"/>
    <col min="12549" max="12549" width="16.7109375" style="343" bestFit="1" customWidth="1"/>
    <col min="12550" max="12550" width="17.28515625" style="343" bestFit="1" customWidth="1"/>
    <col min="12551" max="12551" width="17.28515625" style="343" customWidth="1"/>
    <col min="12552" max="12552" width="14.85546875" style="343" bestFit="1" customWidth="1"/>
    <col min="12553" max="12553" width="17.28515625" style="343" bestFit="1" customWidth="1"/>
    <col min="12554" max="12554" width="14.85546875" style="343" bestFit="1" customWidth="1"/>
    <col min="12555" max="12555" width="13.7109375" style="343" bestFit="1" customWidth="1"/>
    <col min="12556" max="12556" width="13.5703125" style="343" bestFit="1" customWidth="1"/>
    <col min="12557" max="12558" width="3.5703125" style="343" bestFit="1" customWidth="1"/>
    <col min="12559" max="12801" width="9.140625" style="343"/>
    <col min="12802" max="12802" width="12.140625" style="343" customWidth="1"/>
    <col min="12803" max="12803" width="30.85546875" style="343" bestFit="1" customWidth="1"/>
    <col min="12804" max="12804" width="10.5703125" style="343" bestFit="1" customWidth="1"/>
    <col min="12805" max="12805" width="16.7109375" style="343" bestFit="1" customWidth="1"/>
    <col min="12806" max="12806" width="17.28515625" style="343" bestFit="1" customWidth="1"/>
    <col min="12807" max="12807" width="17.28515625" style="343" customWidth="1"/>
    <col min="12808" max="12808" width="14.85546875" style="343" bestFit="1" customWidth="1"/>
    <col min="12809" max="12809" width="17.28515625" style="343" bestFit="1" customWidth="1"/>
    <col min="12810" max="12810" width="14.85546875" style="343" bestFit="1" customWidth="1"/>
    <col min="12811" max="12811" width="13.7109375" style="343" bestFit="1" customWidth="1"/>
    <col min="12812" max="12812" width="13.5703125" style="343" bestFit="1" customWidth="1"/>
    <col min="12813" max="12814" width="3.5703125" style="343" bestFit="1" customWidth="1"/>
    <col min="12815" max="13057" width="9.140625" style="343"/>
    <col min="13058" max="13058" width="12.140625" style="343" customWidth="1"/>
    <col min="13059" max="13059" width="30.85546875" style="343" bestFit="1" customWidth="1"/>
    <col min="13060" max="13060" width="10.5703125" style="343" bestFit="1" customWidth="1"/>
    <col min="13061" max="13061" width="16.7109375" style="343" bestFit="1" customWidth="1"/>
    <col min="13062" max="13062" width="17.28515625" style="343" bestFit="1" customWidth="1"/>
    <col min="13063" max="13063" width="17.28515625" style="343" customWidth="1"/>
    <col min="13064" max="13064" width="14.85546875" style="343" bestFit="1" customWidth="1"/>
    <col min="13065" max="13065" width="17.28515625" style="343" bestFit="1" customWidth="1"/>
    <col min="13066" max="13066" width="14.85546875" style="343" bestFit="1" customWidth="1"/>
    <col min="13067" max="13067" width="13.7109375" style="343" bestFit="1" customWidth="1"/>
    <col min="13068" max="13068" width="13.5703125" style="343" bestFit="1" customWidth="1"/>
    <col min="13069" max="13070" width="3.5703125" style="343" bestFit="1" customWidth="1"/>
    <col min="13071" max="13313" width="9.140625" style="343"/>
    <col min="13314" max="13314" width="12.140625" style="343" customWidth="1"/>
    <col min="13315" max="13315" width="30.85546875" style="343" bestFit="1" customWidth="1"/>
    <col min="13316" max="13316" width="10.5703125" style="343" bestFit="1" customWidth="1"/>
    <col min="13317" max="13317" width="16.7109375" style="343" bestFit="1" customWidth="1"/>
    <col min="13318" max="13318" width="17.28515625" style="343" bestFit="1" customWidth="1"/>
    <col min="13319" max="13319" width="17.28515625" style="343" customWidth="1"/>
    <col min="13320" max="13320" width="14.85546875" style="343" bestFit="1" customWidth="1"/>
    <col min="13321" max="13321" width="17.28515625" style="343" bestFit="1" customWidth="1"/>
    <col min="13322" max="13322" width="14.85546875" style="343" bestFit="1" customWidth="1"/>
    <col min="13323" max="13323" width="13.7109375" style="343" bestFit="1" customWidth="1"/>
    <col min="13324" max="13324" width="13.5703125" style="343" bestFit="1" customWidth="1"/>
    <col min="13325" max="13326" width="3.5703125" style="343" bestFit="1" customWidth="1"/>
    <col min="13327" max="13569" width="9.140625" style="343"/>
    <col min="13570" max="13570" width="12.140625" style="343" customWidth="1"/>
    <col min="13571" max="13571" width="30.85546875" style="343" bestFit="1" customWidth="1"/>
    <col min="13572" max="13572" width="10.5703125" style="343" bestFit="1" customWidth="1"/>
    <col min="13573" max="13573" width="16.7109375" style="343" bestFit="1" customWidth="1"/>
    <col min="13574" max="13574" width="17.28515625" style="343" bestFit="1" customWidth="1"/>
    <col min="13575" max="13575" width="17.28515625" style="343" customWidth="1"/>
    <col min="13576" max="13576" width="14.85546875" style="343" bestFit="1" customWidth="1"/>
    <col min="13577" max="13577" width="17.28515625" style="343" bestFit="1" customWidth="1"/>
    <col min="13578" max="13578" width="14.85546875" style="343" bestFit="1" customWidth="1"/>
    <col min="13579" max="13579" width="13.7109375" style="343" bestFit="1" customWidth="1"/>
    <col min="13580" max="13580" width="13.5703125" style="343" bestFit="1" customWidth="1"/>
    <col min="13581" max="13582" width="3.5703125" style="343" bestFit="1" customWidth="1"/>
    <col min="13583" max="13825" width="9.140625" style="343"/>
    <col min="13826" max="13826" width="12.140625" style="343" customWidth="1"/>
    <col min="13827" max="13827" width="30.85546875" style="343" bestFit="1" customWidth="1"/>
    <col min="13828" max="13828" width="10.5703125" style="343" bestFit="1" customWidth="1"/>
    <col min="13829" max="13829" width="16.7109375" style="343" bestFit="1" customWidth="1"/>
    <col min="13830" max="13830" width="17.28515625" style="343" bestFit="1" customWidth="1"/>
    <col min="13831" max="13831" width="17.28515625" style="343" customWidth="1"/>
    <col min="13832" max="13832" width="14.85546875" style="343" bestFit="1" customWidth="1"/>
    <col min="13833" max="13833" width="17.28515625" style="343" bestFit="1" customWidth="1"/>
    <col min="13834" max="13834" width="14.85546875" style="343" bestFit="1" customWidth="1"/>
    <col min="13835" max="13835" width="13.7109375" style="343" bestFit="1" customWidth="1"/>
    <col min="13836" max="13836" width="13.5703125" style="343" bestFit="1" customWidth="1"/>
    <col min="13837" max="13838" width="3.5703125" style="343" bestFit="1" customWidth="1"/>
    <col min="13839" max="14081" width="9.140625" style="343"/>
    <col min="14082" max="14082" width="12.140625" style="343" customWidth="1"/>
    <col min="14083" max="14083" width="30.85546875" style="343" bestFit="1" customWidth="1"/>
    <col min="14084" max="14084" width="10.5703125" style="343" bestFit="1" customWidth="1"/>
    <col min="14085" max="14085" width="16.7109375" style="343" bestFit="1" customWidth="1"/>
    <col min="14086" max="14086" width="17.28515625" style="343" bestFit="1" customWidth="1"/>
    <col min="14087" max="14087" width="17.28515625" style="343" customWidth="1"/>
    <col min="14088" max="14088" width="14.85546875" style="343" bestFit="1" customWidth="1"/>
    <col min="14089" max="14089" width="17.28515625" style="343" bestFit="1" customWidth="1"/>
    <col min="14090" max="14090" width="14.85546875" style="343" bestFit="1" customWidth="1"/>
    <col min="14091" max="14091" width="13.7109375" style="343" bestFit="1" customWidth="1"/>
    <col min="14092" max="14092" width="13.5703125" style="343" bestFit="1" customWidth="1"/>
    <col min="14093" max="14094" width="3.5703125" style="343" bestFit="1" customWidth="1"/>
    <col min="14095" max="14337" width="9.140625" style="343"/>
    <col min="14338" max="14338" width="12.140625" style="343" customWidth="1"/>
    <col min="14339" max="14339" width="30.85546875" style="343" bestFit="1" customWidth="1"/>
    <col min="14340" max="14340" width="10.5703125" style="343" bestFit="1" customWidth="1"/>
    <col min="14341" max="14341" width="16.7109375" style="343" bestFit="1" customWidth="1"/>
    <col min="14342" max="14342" width="17.28515625" style="343" bestFit="1" customWidth="1"/>
    <col min="14343" max="14343" width="17.28515625" style="343" customWidth="1"/>
    <col min="14344" max="14344" width="14.85546875" style="343" bestFit="1" customWidth="1"/>
    <col min="14345" max="14345" width="17.28515625" style="343" bestFit="1" customWidth="1"/>
    <col min="14346" max="14346" width="14.85546875" style="343" bestFit="1" customWidth="1"/>
    <col min="14347" max="14347" width="13.7109375" style="343" bestFit="1" customWidth="1"/>
    <col min="14348" max="14348" width="13.5703125" style="343" bestFit="1" customWidth="1"/>
    <col min="14349" max="14350" width="3.5703125" style="343" bestFit="1" customWidth="1"/>
    <col min="14351" max="14593" width="9.140625" style="343"/>
    <col min="14594" max="14594" width="12.140625" style="343" customWidth="1"/>
    <col min="14595" max="14595" width="30.85546875" style="343" bestFit="1" customWidth="1"/>
    <col min="14596" max="14596" width="10.5703125" style="343" bestFit="1" customWidth="1"/>
    <col min="14597" max="14597" width="16.7109375" style="343" bestFit="1" customWidth="1"/>
    <col min="14598" max="14598" width="17.28515625" style="343" bestFit="1" customWidth="1"/>
    <col min="14599" max="14599" width="17.28515625" style="343" customWidth="1"/>
    <col min="14600" max="14600" width="14.85546875" style="343" bestFit="1" customWidth="1"/>
    <col min="14601" max="14601" width="17.28515625" style="343" bestFit="1" customWidth="1"/>
    <col min="14602" max="14602" width="14.85546875" style="343" bestFit="1" customWidth="1"/>
    <col min="14603" max="14603" width="13.7109375" style="343" bestFit="1" customWidth="1"/>
    <col min="14604" max="14604" width="13.5703125" style="343" bestFit="1" customWidth="1"/>
    <col min="14605" max="14606" width="3.5703125" style="343" bestFit="1" customWidth="1"/>
    <col min="14607" max="14849" width="9.140625" style="343"/>
    <col min="14850" max="14850" width="12.140625" style="343" customWidth="1"/>
    <col min="14851" max="14851" width="30.85546875" style="343" bestFit="1" customWidth="1"/>
    <col min="14852" max="14852" width="10.5703125" style="343" bestFit="1" customWidth="1"/>
    <col min="14853" max="14853" width="16.7109375" style="343" bestFit="1" customWidth="1"/>
    <col min="14854" max="14854" width="17.28515625" style="343" bestFit="1" customWidth="1"/>
    <col min="14855" max="14855" width="17.28515625" style="343" customWidth="1"/>
    <col min="14856" max="14856" width="14.85546875" style="343" bestFit="1" customWidth="1"/>
    <col min="14857" max="14857" width="17.28515625" style="343" bestFit="1" customWidth="1"/>
    <col min="14858" max="14858" width="14.85546875" style="343" bestFit="1" customWidth="1"/>
    <col min="14859" max="14859" width="13.7109375" style="343" bestFit="1" customWidth="1"/>
    <col min="14860" max="14860" width="13.5703125" style="343" bestFit="1" customWidth="1"/>
    <col min="14861" max="14862" width="3.5703125" style="343" bestFit="1" customWidth="1"/>
    <col min="14863" max="15105" width="9.140625" style="343"/>
    <col min="15106" max="15106" width="12.140625" style="343" customWidth="1"/>
    <col min="15107" max="15107" width="30.85546875" style="343" bestFit="1" customWidth="1"/>
    <col min="15108" max="15108" width="10.5703125" style="343" bestFit="1" customWidth="1"/>
    <col min="15109" max="15109" width="16.7109375" style="343" bestFit="1" customWidth="1"/>
    <col min="15110" max="15110" width="17.28515625" style="343" bestFit="1" customWidth="1"/>
    <col min="15111" max="15111" width="17.28515625" style="343" customWidth="1"/>
    <col min="15112" max="15112" width="14.85546875" style="343" bestFit="1" customWidth="1"/>
    <col min="15113" max="15113" width="17.28515625" style="343" bestFit="1" customWidth="1"/>
    <col min="15114" max="15114" width="14.85546875" style="343" bestFit="1" customWidth="1"/>
    <col min="15115" max="15115" width="13.7109375" style="343" bestFit="1" customWidth="1"/>
    <col min="15116" max="15116" width="13.5703125" style="343" bestFit="1" customWidth="1"/>
    <col min="15117" max="15118" width="3.5703125" style="343" bestFit="1" customWidth="1"/>
    <col min="15119" max="15361" width="9.140625" style="343"/>
    <col min="15362" max="15362" width="12.140625" style="343" customWidth="1"/>
    <col min="15363" max="15363" width="30.85546875" style="343" bestFit="1" customWidth="1"/>
    <col min="15364" max="15364" width="10.5703125" style="343" bestFit="1" customWidth="1"/>
    <col min="15365" max="15365" width="16.7109375" style="343" bestFit="1" customWidth="1"/>
    <col min="15366" max="15366" width="17.28515625" style="343" bestFit="1" customWidth="1"/>
    <col min="15367" max="15367" width="17.28515625" style="343" customWidth="1"/>
    <col min="15368" max="15368" width="14.85546875" style="343" bestFit="1" customWidth="1"/>
    <col min="15369" max="15369" width="17.28515625" style="343" bestFit="1" customWidth="1"/>
    <col min="15370" max="15370" width="14.85546875" style="343" bestFit="1" customWidth="1"/>
    <col min="15371" max="15371" width="13.7109375" style="343" bestFit="1" customWidth="1"/>
    <col min="15372" max="15372" width="13.5703125" style="343" bestFit="1" customWidth="1"/>
    <col min="15373" max="15374" width="3.5703125" style="343" bestFit="1" customWidth="1"/>
    <col min="15375" max="15617" width="9.140625" style="343"/>
    <col min="15618" max="15618" width="12.140625" style="343" customWidth="1"/>
    <col min="15619" max="15619" width="30.85546875" style="343" bestFit="1" customWidth="1"/>
    <col min="15620" max="15620" width="10.5703125" style="343" bestFit="1" customWidth="1"/>
    <col min="15621" max="15621" width="16.7109375" style="343" bestFit="1" customWidth="1"/>
    <col min="15622" max="15622" width="17.28515625" style="343" bestFit="1" customWidth="1"/>
    <col min="15623" max="15623" width="17.28515625" style="343" customWidth="1"/>
    <col min="15624" max="15624" width="14.85546875" style="343" bestFit="1" customWidth="1"/>
    <col min="15625" max="15625" width="17.28515625" style="343" bestFit="1" customWidth="1"/>
    <col min="15626" max="15626" width="14.85546875" style="343" bestFit="1" customWidth="1"/>
    <col min="15627" max="15627" width="13.7109375" style="343" bestFit="1" customWidth="1"/>
    <col min="15628" max="15628" width="13.5703125" style="343" bestFit="1" customWidth="1"/>
    <col min="15629" max="15630" width="3.5703125" style="343" bestFit="1" customWidth="1"/>
    <col min="15631" max="15873" width="9.140625" style="343"/>
    <col min="15874" max="15874" width="12.140625" style="343" customWidth="1"/>
    <col min="15875" max="15875" width="30.85546875" style="343" bestFit="1" customWidth="1"/>
    <col min="15876" max="15876" width="10.5703125" style="343" bestFit="1" customWidth="1"/>
    <col min="15877" max="15877" width="16.7109375" style="343" bestFit="1" customWidth="1"/>
    <col min="15878" max="15878" width="17.28515625" style="343" bestFit="1" customWidth="1"/>
    <col min="15879" max="15879" width="17.28515625" style="343" customWidth="1"/>
    <col min="15880" max="15880" width="14.85546875" style="343" bestFit="1" customWidth="1"/>
    <col min="15881" max="15881" width="17.28515625" style="343" bestFit="1" customWidth="1"/>
    <col min="15882" max="15882" width="14.85546875" style="343" bestFit="1" customWidth="1"/>
    <col min="15883" max="15883" width="13.7109375" style="343" bestFit="1" customWidth="1"/>
    <col min="15884" max="15884" width="13.5703125" style="343" bestFit="1" customWidth="1"/>
    <col min="15885" max="15886" width="3.5703125" style="343" bestFit="1" customWidth="1"/>
    <col min="15887" max="16129" width="9.140625" style="343"/>
    <col min="16130" max="16130" width="12.140625" style="343" customWidth="1"/>
    <col min="16131" max="16131" width="30.85546875" style="343" bestFit="1" customWidth="1"/>
    <col min="16132" max="16132" width="10.5703125" style="343" bestFit="1" customWidth="1"/>
    <col min="16133" max="16133" width="16.7109375" style="343" bestFit="1" customWidth="1"/>
    <col min="16134" max="16134" width="17.28515625" style="343" bestFit="1" customWidth="1"/>
    <col min="16135" max="16135" width="17.28515625" style="343" customWidth="1"/>
    <col min="16136" max="16136" width="14.85546875" style="343" bestFit="1" customWidth="1"/>
    <col min="16137" max="16137" width="17.28515625" style="343" bestFit="1" customWidth="1"/>
    <col min="16138" max="16138" width="14.85546875" style="343" bestFit="1" customWidth="1"/>
    <col min="16139" max="16139" width="13.7109375" style="343" bestFit="1" customWidth="1"/>
    <col min="16140" max="16140" width="13.5703125" style="343" bestFit="1" customWidth="1"/>
    <col min="16141" max="16142" width="3.5703125" style="343" bestFit="1" customWidth="1"/>
    <col min="16143" max="16384" width="9.140625" style="343"/>
  </cols>
  <sheetData>
    <row r="1" spans="1:13" s="344" customFormat="1" ht="15.75" x14ac:dyDescent="0.25">
      <c r="A1" s="518" t="s">
        <v>38</v>
      </c>
      <c r="B1" s="519">
        <v>43525</v>
      </c>
      <c r="C1" s="347" t="s">
        <v>37</v>
      </c>
      <c r="D1" s="589" t="s">
        <v>208</v>
      </c>
      <c r="E1" s="589"/>
      <c r="F1" s="589"/>
      <c r="G1" s="589"/>
      <c r="H1" s="589"/>
      <c r="I1" s="589"/>
      <c r="J1" s="589"/>
      <c r="K1" s="589"/>
      <c r="L1" s="589"/>
      <c r="M1" s="589"/>
    </row>
    <row r="2" spans="1:13" s="346" customFormat="1" ht="222" thickBot="1" x14ac:dyDescent="0.25">
      <c r="B2" s="520"/>
      <c r="C2" s="521" t="s">
        <v>209</v>
      </c>
      <c r="D2" s="522" t="s">
        <v>175</v>
      </c>
      <c r="E2" s="523" t="s">
        <v>176</v>
      </c>
      <c r="F2" s="522" t="s">
        <v>210</v>
      </c>
      <c r="G2" s="523" t="s">
        <v>211</v>
      </c>
      <c r="H2" s="522" t="s">
        <v>212</v>
      </c>
      <c r="I2" s="523" t="s">
        <v>213</v>
      </c>
      <c r="J2" s="522" t="s">
        <v>214</v>
      </c>
      <c r="K2" s="523" t="s">
        <v>215</v>
      </c>
      <c r="L2" s="522" t="s">
        <v>138</v>
      </c>
      <c r="M2" s="523" t="s">
        <v>140</v>
      </c>
    </row>
    <row r="3" spans="1:13" s="515" customFormat="1" ht="24" customHeight="1" x14ac:dyDescent="0.2">
      <c r="A3" s="586" t="s">
        <v>216</v>
      </c>
      <c r="B3" s="524" t="s">
        <v>217</v>
      </c>
      <c r="C3" s="525" t="s">
        <v>218</v>
      </c>
      <c r="D3" s="526" t="s">
        <v>167</v>
      </c>
      <c r="E3" s="526" t="s">
        <v>167</v>
      </c>
      <c r="F3" s="526"/>
      <c r="G3" s="526"/>
      <c r="H3" s="526"/>
      <c r="I3" s="526" t="s">
        <v>167</v>
      </c>
      <c r="J3" s="526" t="s">
        <v>167</v>
      </c>
      <c r="K3" s="526" t="s">
        <v>167</v>
      </c>
      <c r="L3" s="526" t="s">
        <v>167</v>
      </c>
      <c r="M3" s="530" t="s">
        <v>167</v>
      </c>
    </row>
    <row r="4" spans="1:13" s="515" customFormat="1" ht="24" customHeight="1" x14ac:dyDescent="0.2">
      <c r="A4" s="587"/>
      <c r="B4" s="527" t="s">
        <v>219</v>
      </c>
      <c r="C4" s="528" t="s">
        <v>220</v>
      </c>
      <c r="D4" s="529" t="s">
        <v>167</v>
      </c>
      <c r="E4" s="529" t="s">
        <v>167</v>
      </c>
      <c r="F4" s="529" t="s">
        <v>167</v>
      </c>
      <c r="G4" s="529" t="s">
        <v>167</v>
      </c>
      <c r="H4" s="529"/>
      <c r="I4" s="529" t="s">
        <v>167</v>
      </c>
      <c r="J4" s="529"/>
      <c r="K4" s="529" t="s">
        <v>167</v>
      </c>
      <c r="L4" s="529"/>
      <c r="M4" s="531"/>
    </row>
    <row r="5" spans="1:13" s="515" customFormat="1" ht="24" customHeight="1" x14ac:dyDescent="0.2">
      <c r="A5" s="587"/>
      <c r="B5" s="527" t="s">
        <v>221</v>
      </c>
      <c r="C5" s="528" t="s">
        <v>222</v>
      </c>
      <c r="D5" s="529" t="s">
        <v>167</v>
      </c>
      <c r="E5" s="529" t="s">
        <v>167</v>
      </c>
      <c r="F5" s="529"/>
      <c r="G5" s="529" t="s">
        <v>167</v>
      </c>
      <c r="H5" s="529"/>
      <c r="I5" s="529" t="s">
        <v>167</v>
      </c>
      <c r="J5" s="529"/>
      <c r="K5" s="529" t="s">
        <v>167</v>
      </c>
      <c r="L5" s="529"/>
      <c r="M5" s="531"/>
    </row>
    <row r="6" spans="1:13" s="515" customFormat="1" ht="24" customHeight="1" x14ac:dyDescent="0.2">
      <c r="A6" s="587"/>
      <c r="B6" s="527" t="s">
        <v>223</v>
      </c>
      <c r="C6" s="528" t="s">
        <v>224</v>
      </c>
      <c r="D6" s="529" t="s">
        <v>167</v>
      </c>
      <c r="E6" s="529" t="s">
        <v>167</v>
      </c>
      <c r="F6" s="529"/>
      <c r="G6" s="529" t="s">
        <v>167</v>
      </c>
      <c r="H6" s="529"/>
      <c r="I6" s="529" t="s">
        <v>167</v>
      </c>
      <c r="J6" s="529" t="s">
        <v>167</v>
      </c>
      <c r="K6" s="529" t="s">
        <v>167</v>
      </c>
      <c r="L6" s="529" t="s">
        <v>225</v>
      </c>
      <c r="M6" s="531" t="s">
        <v>225</v>
      </c>
    </row>
    <row r="7" spans="1:13" s="515" customFormat="1" ht="24" customHeight="1" thickBot="1" x14ac:dyDescent="0.25">
      <c r="A7" s="588"/>
      <c r="B7" s="532" t="s">
        <v>226</v>
      </c>
      <c r="C7" s="533" t="s">
        <v>227</v>
      </c>
      <c r="D7" s="534" t="s">
        <v>167</v>
      </c>
      <c r="E7" s="534" t="s">
        <v>167</v>
      </c>
      <c r="F7" s="534"/>
      <c r="G7" s="534" t="s">
        <v>167</v>
      </c>
      <c r="H7" s="534" t="s">
        <v>167</v>
      </c>
      <c r="I7" s="534"/>
      <c r="J7" s="534"/>
      <c r="K7" s="534" t="s">
        <v>167</v>
      </c>
      <c r="L7" s="534"/>
      <c r="M7" s="535"/>
    </row>
    <row r="8" spans="1:13" x14ac:dyDescent="0.2">
      <c r="C8" s="342"/>
    </row>
    <row r="9" spans="1:13" x14ac:dyDescent="0.2">
      <c r="B9" s="342"/>
      <c r="C9" s="342"/>
    </row>
    <row r="11" spans="1:13" x14ac:dyDescent="0.2">
      <c r="E11" s="462"/>
      <c r="F11" s="462"/>
      <c r="G11" s="462"/>
      <c r="H11" s="462"/>
      <c r="I11" s="462"/>
      <c r="J11" s="462"/>
    </row>
  </sheetData>
  <mergeCells count="2">
    <mergeCell ref="A3:A7"/>
    <mergeCell ref="D1:M1"/>
  </mergeCells>
  <conditionalFormatting sqref="D3:M7">
    <cfRule type="cellIs" dxfId="1" priority="1" operator="equal">
      <formula>""</formula>
    </cfRule>
  </conditionalFormatting>
  <hyperlinks>
    <hyperlink ref="C1" location="Inventory!A1" display="Index" xr:uid="{00000000-0004-0000-0500-000000000000}"/>
  </hyperlink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showGridLines="0" workbookViewId="0">
      <selection activeCell="B2" sqref="B2"/>
    </sheetView>
  </sheetViews>
  <sheetFormatPr defaultRowHeight="12.75" x14ac:dyDescent="0.2"/>
  <cols>
    <col min="1" max="1" width="47.5703125" style="498" bestFit="1" customWidth="1"/>
    <col min="2" max="2" width="19.42578125" style="498" bestFit="1" customWidth="1"/>
    <col min="3" max="16384" width="9.140625" style="498"/>
  </cols>
  <sheetData>
    <row r="1" spans="1:10" ht="15.75" x14ac:dyDescent="0.25">
      <c r="A1" s="497" t="s">
        <v>228</v>
      </c>
      <c r="B1" s="497" t="s">
        <v>178</v>
      </c>
      <c r="H1" s="512" t="s">
        <v>37</v>
      </c>
      <c r="I1"/>
      <c r="J1" s="513">
        <v>44825</v>
      </c>
    </row>
    <row r="2" spans="1:10" x14ac:dyDescent="0.2">
      <c r="A2" s="517" t="s">
        <v>179</v>
      </c>
      <c r="B2" s="501">
        <f>(LARGE(_xlfn.UNIQUE(B3:B8),1)+LARGE(_xlfn.UNIQUE(B3:B8),2)+LARGE(_xlfn.UNIQUE(B3:B8),3))/3</f>
        <v>0.68016337232755131</v>
      </c>
    </row>
    <row r="3" spans="1:10" x14ac:dyDescent="0.2">
      <c r="A3" s="499" t="s">
        <v>126</v>
      </c>
      <c r="B3" s="500">
        <v>0.1813735377168213</v>
      </c>
    </row>
    <row r="4" spans="1:10" x14ac:dyDescent="0.2">
      <c r="A4" s="499" t="s">
        <v>127</v>
      </c>
      <c r="B4" s="500">
        <v>1</v>
      </c>
    </row>
    <row r="5" spans="1:10" x14ac:dyDescent="0.2">
      <c r="A5" s="499" t="s">
        <v>128</v>
      </c>
      <c r="B5" s="500">
        <v>0.1813735377168213</v>
      </c>
    </row>
    <row r="6" spans="1:10" x14ac:dyDescent="0.2">
      <c r="A6" s="499" t="s">
        <v>130</v>
      </c>
      <c r="B6" s="500">
        <v>1</v>
      </c>
    </row>
    <row r="7" spans="1:10" x14ac:dyDescent="0.2">
      <c r="A7" s="499" t="s">
        <v>132</v>
      </c>
      <c r="B7" s="500">
        <v>0.85911657926583296</v>
      </c>
    </row>
    <row r="8" spans="1:10" x14ac:dyDescent="0.2">
      <c r="A8" s="472" t="s">
        <v>134</v>
      </c>
      <c r="B8" s="500">
        <v>1</v>
      </c>
    </row>
    <row r="17" spans="1:1" ht="15.75" x14ac:dyDescent="0.25">
      <c r="A17" s="497" t="s">
        <v>229</v>
      </c>
    </row>
    <row r="18" spans="1:1" x14ac:dyDescent="0.2">
      <c r="A18" s="514" t="s">
        <v>178</v>
      </c>
    </row>
  </sheetData>
  <conditionalFormatting sqref="B2">
    <cfRule type="cellIs" dxfId="0" priority="1" operator="between">
      <formula>0.9</formula>
      <formula>0.99</formula>
    </cfRule>
  </conditionalFormatting>
  <hyperlinks>
    <hyperlink ref="H1" location="Inventory!A1" display="Inventory"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7"/>
  <sheetViews>
    <sheetView showGridLines="0" zoomScaleNormal="100" workbookViewId="0">
      <selection activeCell="E2" sqref="E2"/>
    </sheetView>
  </sheetViews>
  <sheetFormatPr defaultRowHeight="12.75" x14ac:dyDescent="0.2"/>
  <cols>
    <col min="1" max="1" width="14.85546875" style="413" bestFit="1" customWidth="1"/>
    <col min="2" max="2" width="21" style="413" customWidth="1"/>
    <col min="3" max="3" width="56.7109375" style="413" bestFit="1" customWidth="1"/>
    <col min="4" max="4" width="70.7109375" style="414" customWidth="1"/>
    <col min="5" max="5" width="13.7109375" style="414" bestFit="1" customWidth="1"/>
    <col min="6" max="6" width="7.42578125" style="414" customWidth="1"/>
    <col min="7" max="7" width="14.5703125" style="414" customWidth="1"/>
    <col min="8" max="255" width="9.140625" style="413"/>
    <col min="256" max="256" width="14.85546875" style="413" bestFit="1" customWidth="1"/>
    <col min="257" max="257" width="21" style="413" customWidth="1"/>
    <col min="258" max="258" width="50.85546875" style="413" bestFit="1" customWidth="1"/>
    <col min="259" max="259" width="55.85546875" style="413" bestFit="1" customWidth="1"/>
    <col min="260" max="260" width="26.140625" style="413" customWidth="1"/>
    <col min="261" max="261" width="0" style="413" hidden="1" customWidth="1"/>
    <col min="262" max="262" width="7.42578125" style="413" customWidth="1"/>
    <col min="263" max="263" width="14.5703125" style="413" customWidth="1"/>
    <col min="264" max="511" width="9.140625" style="413"/>
    <col min="512" max="512" width="14.85546875" style="413" bestFit="1" customWidth="1"/>
    <col min="513" max="513" width="21" style="413" customWidth="1"/>
    <col min="514" max="514" width="50.85546875" style="413" bestFit="1" customWidth="1"/>
    <col min="515" max="515" width="55.85546875" style="413" bestFit="1" customWidth="1"/>
    <col min="516" max="516" width="26.140625" style="413" customWidth="1"/>
    <col min="517" max="517" width="0" style="413" hidden="1" customWidth="1"/>
    <col min="518" max="518" width="7.42578125" style="413" customWidth="1"/>
    <col min="519" max="519" width="14.5703125" style="413" customWidth="1"/>
    <col min="520" max="767" width="9.140625" style="413"/>
    <col min="768" max="768" width="14.85546875" style="413" bestFit="1" customWidth="1"/>
    <col min="769" max="769" width="21" style="413" customWidth="1"/>
    <col min="770" max="770" width="50.85546875" style="413" bestFit="1" customWidth="1"/>
    <col min="771" max="771" width="55.85546875" style="413" bestFit="1" customWidth="1"/>
    <col min="772" max="772" width="26.140625" style="413" customWidth="1"/>
    <col min="773" max="773" width="0" style="413" hidden="1" customWidth="1"/>
    <col min="774" max="774" width="7.42578125" style="413" customWidth="1"/>
    <col min="775" max="775" width="14.5703125" style="413" customWidth="1"/>
    <col min="776" max="1023" width="9.140625" style="413"/>
    <col min="1024" max="1024" width="14.85546875" style="413" bestFit="1" customWidth="1"/>
    <col min="1025" max="1025" width="21" style="413" customWidth="1"/>
    <col min="1026" max="1026" width="50.85546875" style="413" bestFit="1" customWidth="1"/>
    <col min="1027" max="1027" width="55.85546875" style="413" bestFit="1" customWidth="1"/>
    <col min="1028" max="1028" width="26.140625" style="413" customWidth="1"/>
    <col min="1029" max="1029" width="0" style="413" hidden="1" customWidth="1"/>
    <col min="1030" max="1030" width="7.42578125" style="413" customWidth="1"/>
    <col min="1031" max="1031" width="14.5703125" style="413" customWidth="1"/>
    <col min="1032" max="1279" width="9.140625" style="413"/>
    <col min="1280" max="1280" width="14.85546875" style="413" bestFit="1" customWidth="1"/>
    <col min="1281" max="1281" width="21" style="413" customWidth="1"/>
    <col min="1282" max="1282" width="50.85546875" style="413" bestFit="1" customWidth="1"/>
    <col min="1283" max="1283" width="55.85546875" style="413" bestFit="1" customWidth="1"/>
    <col min="1284" max="1284" width="26.140625" style="413" customWidth="1"/>
    <col min="1285" max="1285" width="0" style="413" hidden="1" customWidth="1"/>
    <col min="1286" max="1286" width="7.42578125" style="413" customWidth="1"/>
    <col min="1287" max="1287" width="14.5703125" style="413" customWidth="1"/>
    <col min="1288" max="1535" width="9.140625" style="413"/>
    <col min="1536" max="1536" width="14.85546875" style="413" bestFit="1" customWidth="1"/>
    <col min="1537" max="1537" width="21" style="413" customWidth="1"/>
    <col min="1538" max="1538" width="50.85546875" style="413" bestFit="1" customWidth="1"/>
    <col min="1539" max="1539" width="55.85546875" style="413" bestFit="1" customWidth="1"/>
    <col min="1540" max="1540" width="26.140625" style="413" customWidth="1"/>
    <col min="1541" max="1541" width="0" style="413" hidden="1" customWidth="1"/>
    <col min="1542" max="1542" width="7.42578125" style="413" customWidth="1"/>
    <col min="1543" max="1543" width="14.5703125" style="413" customWidth="1"/>
    <col min="1544" max="1791" width="9.140625" style="413"/>
    <col min="1792" max="1792" width="14.85546875" style="413" bestFit="1" customWidth="1"/>
    <col min="1793" max="1793" width="21" style="413" customWidth="1"/>
    <col min="1794" max="1794" width="50.85546875" style="413" bestFit="1" customWidth="1"/>
    <col min="1795" max="1795" width="55.85546875" style="413" bestFit="1" customWidth="1"/>
    <col min="1796" max="1796" width="26.140625" style="413" customWidth="1"/>
    <col min="1797" max="1797" width="0" style="413" hidden="1" customWidth="1"/>
    <col min="1798" max="1798" width="7.42578125" style="413" customWidth="1"/>
    <col min="1799" max="1799" width="14.5703125" style="413" customWidth="1"/>
    <col min="1800" max="2047" width="9.140625" style="413"/>
    <col min="2048" max="2048" width="14.85546875" style="413" bestFit="1" customWidth="1"/>
    <col min="2049" max="2049" width="21" style="413" customWidth="1"/>
    <col min="2050" max="2050" width="50.85546875" style="413" bestFit="1" customWidth="1"/>
    <col min="2051" max="2051" width="55.85546875" style="413" bestFit="1" customWidth="1"/>
    <col min="2052" max="2052" width="26.140625" style="413" customWidth="1"/>
    <col min="2053" max="2053" width="0" style="413" hidden="1" customWidth="1"/>
    <col min="2054" max="2054" width="7.42578125" style="413" customWidth="1"/>
    <col min="2055" max="2055" width="14.5703125" style="413" customWidth="1"/>
    <col min="2056" max="2303" width="9.140625" style="413"/>
    <col min="2304" max="2304" width="14.85546875" style="413" bestFit="1" customWidth="1"/>
    <col min="2305" max="2305" width="21" style="413" customWidth="1"/>
    <col min="2306" max="2306" width="50.85546875" style="413" bestFit="1" customWidth="1"/>
    <col min="2307" max="2307" width="55.85546875" style="413" bestFit="1" customWidth="1"/>
    <col min="2308" max="2308" width="26.140625" style="413" customWidth="1"/>
    <col min="2309" max="2309" width="0" style="413" hidden="1" customWidth="1"/>
    <col min="2310" max="2310" width="7.42578125" style="413" customWidth="1"/>
    <col min="2311" max="2311" width="14.5703125" style="413" customWidth="1"/>
    <col min="2312" max="2559" width="9.140625" style="413"/>
    <col min="2560" max="2560" width="14.85546875" style="413" bestFit="1" customWidth="1"/>
    <col min="2561" max="2561" width="21" style="413" customWidth="1"/>
    <col min="2562" max="2562" width="50.85546875" style="413" bestFit="1" customWidth="1"/>
    <col min="2563" max="2563" width="55.85546875" style="413" bestFit="1" customWidth="1"/>
    <col min="2564" max="2564" width="26.140625" style="413" customWidth="1"/>
    <col min="2565" max="2565" width="0" style="413" hidden="1" customWidth="1"/>
    <col min="2566" max="2566" width="7.42578125" style="413" customWidth="1"/>
    <col min="2567" max="2567" width="14.5703125" style="413" customWidth="1"/>
    <col min="2568" max="2815" width="9.140625" style="413"/>
    <col min="2816" max="2816" width="14.85546875" style="413" bestFit="1" customWidth="1"/>
    <col min="2817" max="2817" width="21" style="413" customWidth="1"/>
    <col min="2818" max="2818" width="50.85546875" style="413" bestFit="1" customWidth="1"/>
    <col min="2819" max="2819" width="55.85546875" style="413" bestFit="1" customWidth="1"/>
    <col min="2820" max="2820" width="26.140625" style="413" customWidth="1"/>
    <col min="2821" max="2821" width="0" style="413" hidden="1" customWidth="1"/>
    <col min="2822" max="2822" width="7.42578125" style="413" customWidth="1"/>
    <col min="2823" max="2823" width="14.5703125" style="413" customWidth="1"/>
    <col min="2824" max="3071" width="9.140625" style="413"/>
    <col min="3072" max="3072" width="14.85546875" style="413" bestFit="1" customWidth="1"/>
    <col min="3073" max="3073" width="21" style="413" customWidth="1"/>
    <col min="3074" max="3074" width="50.85546875" style="413" bestFit="1" customWidth="1"/>
    <col min="3075" max="3075" width="55.85546875" style="413" bestFit="1" customWidth="1"/>
    <col min="3076" max="3076" width="26.140625" style="413" customWidth="1"/>
    <col min="3077" max="3077" width="0" style="413" hidden="1" customWidth="1"/>
    <col min="3078" max="3078" width="7.42578125" style="413" customWidth="1"/>
    <col min="3079" max="3079" width="14.5703125" style="413" customWidth="1"/>
    <col min="3080" max="3327" width="9.140625" style="413"/>
    <col min="3328" max="3328" width="14.85546875" style="413" bestFit="1" customWidth="1"/>
    <col min="3329" max="3329" width="21" style="413" customWidth="1"/>
    <col min="3330" max="3330" width="50.85546875" style="413" bestFit="1" customWidth="1"/>
    <col min="3331" max="3331" width="55.85546875" style="413" bestFit="1" customWidth="1"/>
    <col min="3332" max="3332" width="26.140625" style="413" customWidth="1"/>
    <col min="3333" max="3333" width="0" style="413" hidden="1" customWidth="1"/>
    <col min="3334" max="3334" width="7.42578125" style="413" customWidth="1"/>
    <col min="3335" max="3335" width="14.5703125" style="413" customWidth="1"/>
    <col min="3336" max="3583" width="9.140625" style="413"/>
    <col min="3584" max="3584" width="14.85546875" style="413" bestFit="1" customWidth="1"/>
    <col min="3585" max="3585" width="21" style="413" customWidth="1"/>
    <col min="3586" max="3586" width="50.85546875" style="413" bestFit="1" customWidth="1"/>
    <col min="3587" max="3587" width="55.85546875" style="413" bestFit="1" customWidth="1"/>
    <col min="3588" max="3588" width="26.140625" style="413" customWidth="1"/>
    <col min="3589" max="3589" width="0" style="413" hidden="1" customWidth="1"/>
    <col min="3590" max="3590" width="7.42578125" style="413" customWidth="1"/>
    <col min="3591" max="3591" width="14.5703125" style="413" customWidth="1"/>
    <col min="3592" max="3839" width="9.140625" style="413"/>
    <col min="3840" max="3840" width="14.85546875" style="413" bestFit="1" customWidth="1"/>
    <col min="3841" max="3841" width="21" style="413" customWidth="1"/>
    <col min="3842" max="3842" width="50.85546875" style="413" bestFit="1" customWidth="1"/>
    <col min="3843" max="3843" width="55.85546875" style="413" bestFit="1" customWidth="1"/>
    <col min="3844" max="3844" width="26.140625" style="413" customWidth="1"/>
    <col min="3845" max="3845" width="0" style="413" hidden="1" customWidth="1"/>
    <col min="3846" max="3846" width="7.42578125" style="413" customWidth="1"/>
    <col min="3847" max="3847" width="14.5703125" style="413" customWidth="1"/>
    <col min="3848" max="4095" width="9.140625" style="413"/>
    <col min="4096" max="4096" width="14.85546875" style="413" bestFit="1" customWidth="1"/>
    <col min="4097" max="4097" width="21" style="413" customWidth="1"/>
    <col min="4098" max="4098" width="50.85546875" style="413" bestFit="1" customWidth="1"/>
    <col min="4099" max="4099" width="55.85546875" style="413" bestFit="1" customWidth="1"/>
    <col min="4100" max="4100" width="26.140625" style="413" customWidth="1"/>
    <col min="4101" max="4101" width="0" style="413" hidden="1" customWidth="1"/>
    <col min="4102" max="4102" width="7.42578125" style="413" customWidth="1"/>
    <col min="4103" max="4103" width="14.5703125" style="413" customWidth="1"/>
    <col min="4104" max="4351" width="9.140625" style="413"/>
    <col min="4352" max="4352" width="14.85546875" style="413" bestFit="1" customWidth="1"/>
    <col min="4353" max="4353" width="21" style="413" customWidth="1"/>
    <col min="4354" max="4354" width="50.85546875" style="413" bestFit="1" customWidth="1"/>
    <col min="4355" max="4355" width="55.85546875" style="413" bestFit="1" customWidth="1"/>
    <col min="4356" max="4356" width="26.140625" style="413" customWidth="1"/>
    <col min="4357" max="4357" width="0" style="413" hidden="1" customWidth="1"/>
    <col min="4358" max="4358" width="7.42578125" style="413" customWidth="1"/>
    <col min="4359" max="4359" width="14.5703125" style="413" customWidth="1"/>
    <col min="4360" max="4607" width="9.140625" style="413"/>
    <col min="4608" max="4608" width="14.85546875" style="413" bestFit="1" customWidth="1"/>
    <col min="4609" max="4609" width="21" style="413" customWidth="1"/>
    <col min="4610" max="4610" width="50.85546875" style="413" bestFit="1" customWidth="1"/>
    <col min="4611" max="4611" width="55.85546875" style="413" bestFit="1" customWidth="1"/>
    <col min="4612" max="4612" width="26.140625" style="413" customWidth="1"/>
    <col min="4613" max="4613" width="0" style="413" hidden="1" customWidth="1"/>
    <col min="4614" max="4614" width="7.42578125" style="413" customWidth="1"/>
    <col min="4615" max="4615" width="14.5703125" style="413" customWidth="1"/>
    <col min="4616" max="4863" width="9.140625" style="413"/>
    <col min="4864" max="4864" width="14.85546875" style="413" bestFit="1" customWidth="1"/>
    <col min="4865" max="4865" width="21" style="413" customWidth="1"/>
    <col min="4866" max="4866" width="50.85546875" style="413" bestFit="1" customWidth="1"/>
    <col min="4867" max="4867" width="55.85546875" style="413" bestFit="1" customWidth="1"/>
    <col min="4868" max="4868" width="26.140625" style="413" customWidth="1"/>
    <col min="4869" max="4869" width="0" style="413" hidden="1" customWidth="1"/>
    <col min="4870" max="4870" width="7.42578125" style="413" customWidth="1"/>
    <col min="4871" max="4871" width="14.5703125" style="413" customWidth="1"/>
    <col min="4872" max="5119" width="9.140625" style="413"/>
    <col min="5120" max="5120" width="14.85546875" style="413" bestFit="1" customWidth="1"/>
    <col min="5121" max="5121" width="21" style="413" customWidth="1"/>
    <col min="5122" max="5122" width="50.85546875" style="413" bestFit="1" customWidth="1"/>
    <col min="5123" max="5123" width="55.85546875" style="413" bestFit="1" customWidth="1"/>
    <col min="5124" max="5124" width="26.140625" style="413" customWidth="1"/>
    <col min="5125" max="5125" width="0" style="413" hidden="1" customWidth="1"/>
    <col min="5126" max="5126" width="7.42578125" style="413" customWidth="1"/>
    <col min="5127" max="5127" width="14.5703125" style="413" customWidth="1"/>
    <col min="5128" max="5375" width="9.140625" style="413"/>
    <col min="5376" max="5376" width="14.85546875" style="413" bestFit="1" customWidth="1"/>
    <col min="5377" max="5377" width="21" style="413" customWidth="1"/>
    <col min="5378" max="5378" width="50.85546875" style="413" bestFit="1" customWidth="1"/>
    <col min="5379" max="5379" width="55.85546875" style="413" bestFit="1" customWidth="1"/>
    <col min="5380" max="5380" width="26.140625" style="413" customWidth="1"/>
    <col min="5381" max="5381" width="0" style="413" hidden="1" customWidth="1"/>
    <col min="5382" max="5382" width="7.42578125" style="413" customWidth="1"/>
    <col min="5383" max="5383" width="14.5703125" style="413" customWidth="1"/>
    <col min="5384" max="5631" width="9.140625" style="413"/>
    <col min="5632" max="5632" width="14.85546875" style="413" bestFit="1" customWidth="1"/>
    <col min="5633" max="5633" width="21" style="413" customWidth="1"/>
    <col min="5634" max="5634" width="50.85546875" style="413" bestFit="1" customWidth="1"/>
    <col min="5635" max="5635" width="55.85546875" style="413" bestFit="1" customWidth="1"/>
    <col min="5636" max="5636" width="26.140625" style="413" customWidth="1"/>
    <col min="5637" max="5637" width="0" style="413" hidden="1" customWidth="1"/>
    <col min="5638" max="5638" width="7.42578125" style="413" customWidth="1"/>
    <col min="5639" max="5639" width="14.5703125" style="413" customWidth="1"/>
    <col min="5640" max="5887" width="9.140625" style="413"/>
    <col min="5888" max="5888" width="14.85546875" style="413" bestFit="1" customWidth="1"/>
    <col min="5889" max="5889" width="21" style="413" customWidth="1"/>
    <col min="5890" max="5890" width="50.85546875" style="413" bestFit="1" customWidth="1"/>
    <col min="5891" max="5891" width="55.85546875" style="413" bestFit="1" customWidth="1"/>
    <col min="5892" max="5892" width="26.140625" style="413" customWidth="1"/>
    <col min="5893" max="5893" width="0" style="413" hidden="1" customWidth="1"/>
    <col min="5894" max="5894" width="7.42578125" style="413" customWidth="1"/>
    <col min="5895" max="5895" width="14.5703125" style="413" customWidth="1"/>
    <col min="5896" max="6143" width="9.140625" style="413"/>
    <col min="6144" max="6144" width="14.85546875" style="413" bestFit="1" customWidth="1"/>
    <col min="6145" max="6145" width="21" style="413" customWidth="1"/>
    <col min="6146" max="6146" width="50.85546875" style="413" bestFit="1" customWidth="1"/>
    <col min="6147" max="6147" width="55.85546875" style="413" bestFit="1" customWidth="1"/>
    <col min="6148" max="6148" width="26.140625" style="413" customWidth="1"/>
    <col min="6149" max="6149" width="0" style="413" hidden="1" customWidth="1"/>
    <col min="6150" max="6150" width="7.42578125" style="413" customWidth="1"/>
    <col min="6151" max="6151" width="14.5703125" style="413" customWidth="1"/>
    <col min="6152" max="6399" width="9.140625" style="413"/>
    <col min="6400" max="6400" width="14.85546875" style="413" bestFit="1" customWidth="1"/>
    <col min="6401" max="6401" width="21" style="413" customWidth="1"/>
    <col min="6402" max="6402" width="50.85546875" style="413" bestFit="1" customWidth="1"/>
    <col min="6403" max="6403" width="55.85546875" style="413" bestFit="1" customWidth="1"/>
    <col min="6404" max="6404" width="26.140625" style="413" customWidth="1"/>
    <col min="6405" max="6405" width="0" style="413" hidden="1" customWidth="1"/>
    <col min="6406" max="6406" width="7.42578125" style="413" customWidth="1"/>
    <col min="6407" max="6407" width="14.5703125" style="413" customWidth="1"/>
    <col min="6408" max="6655" width="9.140625" style="413"/>
    <col min="6656" max="6656" width="14.85546875" style="413" bestFit="1" customWidth="1"/>
    <col min="6657" max="6657" width="21" style="413" customWidth="1"/>
    <col min="6658" max="6658" width="50.85546875" style="413" bestFit="1" customWidth="1"/>
    <col min="6659" max="6659" width="55.85546875" style="413" bestFit="1" customWidth="1"/>
    <col min="6660" max="6660" width="26.140625" style="413" customWidth="1"/>
    <col min="6661" max="6661" width="0" style="413" hidden="1" customWidth="1"/>
    <col min="6662" max="6662" width="7.42578125" style="413" customWidth="1"/>
    <col min="6663" max="6663" width="14.5703125" style="413" customWidth="1"/>
    <col min="6664" max="6911" width="9.140625" style="413"/>
    <col min="6912" max="6912" width="14.85546875" style="413" bestFit="1" customWidth="1"/>
    <col min="6913" max="6913" width="21" style="413" customWidth="1"/>
    <col min="6914" max="6914" width="50.85546875" style="413" bestFit="1" customWidth="1"/>
    <col min="6915" max="6915" width="55.85546875" style="413" bestFit="1" customWidth="1"/>
    <col min="6916" max="6916" width="26.140625" style="413" customWidth="1"/>
    <col min="6917" max="6917" width="0" style="413" hidden="1" customWidth="1"/>
    <col min="6918" max="6918" width="7.42578125" style="413" customWidth="1"/>
    <col min="6919" max="6919" width="14.5703125" style="413" customWidth="1"/>
    <col min="6920" max="7167" width="9.140625" style="413"/>
    <col min="7168" max="7168" width="14.85546875" style="413" bestFit="1" customWidth="1"/>
    <col min="7169" max="7169" width="21" style="413" customWidth="1"/>
    <col min="7170" max="7170" width="50.85546875" style="413" bestFit="1" customWidth="1"/>
    <col min="7171" max="7171" width="55.85546875" style="413" bestFit="1" customWidth="1"/>
    <col min="7172" max="7172" width="26.140625" style="413" customWidth="1"/>
    <col min="7173" max="7173" width="0" style="413" hidden="1" customWidth="1"/>
    <col min="7174" max="7174" width="7.42578125" style="413" customWidth="1"/>
    <col min="7175" max="7175" width="14.5703125" style="413" customWidth="1"/>
    <col min="7176" max="7423" width="9.140625" style="413"/>
    <col min="7424" max="7424" width="14.85546875" style="413" bestFit="1" customWidth="1"/>
    <col min="7425" max="7425" width="21" style="413" customWidth="1"/>
    <col min="7426" max="7426" width="50.85546875" style="413" bestFit="1" customWidth="1"/>
    <col min="7427" max="7427" width="55.85546875" style="413" bestFit="1" customWidth="1"/>
    <col min="7428" max="7428" width="26.140625" style="413" customWidth="1"/>
    <col min="7429" max="7429" width="0" style="413" hidden="1" customWidth="1"/>
    <col min="7430" max="7430" width="7.42578125" style="413" customWidth="1"/>
    <col min="7431" max="7431" width="14.5703125" style="413" customWidth="1"/>
    <col min="7432" max="7679" width="9.140625" style="413"/>
    <col min="7680" max="7680" width="14.85546875" style="413" bestFit="1" customWidth="1"/>
    <col min="7681" max="7681" width="21" style="413" customWidth="1"/>
    <col min="7682" max="7682" width="50.85546875" style="413" bestFit="1" customWidth="1"/>
    <col min="7683" max="7683" width="55.85546875" style="413" bestFit="1" customWidth="1"/>
    <col min="7684" max="7684" width="26.140625" style="413" customWidth="1"/>
    <col min="7685" max="7685" width="0" style="413" hidden="1" customWidth="1"/>
    <col min="7686" max="7686" width="7.42578125" style="413" customWidth="1"/>
    <col min="7687" max="7687" width="14.5703125" style="413" customWidth="1"/>
    <col min="7688" max="7935" width="9.140625" style="413"/>
    <col min="7936" max="7936" width="14.85546875" style="413" bestFit="1" customWidth="1"/>
    <col min="7937" max="7937" width="21" style="413" customWidth="1"/>
    <col min="7938" max="7938" width="50.85546875" style="413" bestFit="1" customWidth="1"/>
    <col min="7939" max="7939" width="55.85546875" style="413" bestFit="1" customWidth="1"/>
    <col min="7940" max="7940" width="26.140625" style="413" customWidth="1"/>
    <col min="7941" max="7941" width="0" style="413" hidden="1" customWidth="1"/>
    <col min="7942" max="7942" width="7.42578125" style="413" customWidth="1"/>
    <col min="7943" max="7943" width="14.5703125" style="413" customWidth="1"/>
    <col min="7944" max="8191" width="9.140625" style="413"/>
    <col min="8192" max="8192" width="14.85546875" style="413" bestFit="1" customWidth="1"/>
    <col min="8193" max="8193" width="21" style="413" customWidth="1"/>
    <col min="8194" max="8194" width="50.85546875" style="413" bestFit="1" customWidth="1"/>
    <col min="8195" max="8195" width="55.85546875" style="413" bestFit="1" customWidth="1"/>
    <col min="8196" max="8196" width="26.140625" style="413" customWidth="1"/>
    <col min="8197" max="8197" width="0" style="413" hidden="1" customWidth="1"/>
    <col min="8198" max="8198" width="7.42578125" style="413" customWidth="1"/>
    <col min="8199" max="8199" width="14.5703125" style="413" customWidth="1"/>
    <col min="8200" max="8447" width="9.140625" style="413"/>
    <col min="8448" max="8448" width="14.85546875" style="413" bestFit="1" customWidth="1"/>
    <col min="8449" max="8449" width="21" style="413" customWidth="1"/>
    <col min="8450" max="8450" width="50.85546875" style="413" bestFit="1" customWidth="1"/>
    <col min="8451" max="8451" width="55.85546875" style="413" bestFit="1" customWidth="1"/>
    <col min="8452" max="8452" width="26.140625" style="413" customWidth="1"/>
    <col min="8453" max="8453" width="0" style="413" hidden="1" customWidth="1"/>
    <col min="8454" max="8454" width="7.42578125" style="413" customWidth="1"/>
    <col min="8455" max="8455" width="14.5703125" style="413" customWidth="1"/>
    <col min="8456" max="8703" width="9.140625" style="413"/>
    <col min="8704" max="8704" width="14.85546875" style="413" bestFit="1" customWidth="1"/>
    <col min="8705" max="8705" width="21" style="413" customWidth="1"/>
    <col min="8706" max="8706" width="50.85546875" style="413" bestFit="1" customWidth="1"/>
    <col min="8707" max="8707" width="55.85546875" style="413" bestFit="1" customWidth="1"/>
    <col min="8708" max="8708" width="26.140625" style="413" customWidth="1"/>
    <col min="8709" max="8709" width="0" style="413" hidden="1" customWidth="1"/>
    <col min="8710" max="8710" width="7.42578125" style="413" customWidth="1"/>
    <col min="8711" max="8711" width="14.5703125" style="413" customWidth="1"/>
    <col min="8712" max="8959" width="9.140625" style="413"/>
    <col min="8960" max="8960" width="14.85546875" style="413" bestFit="1" customWidth="1"/>
    <col min="8961" max="8961" width="21" style="413" customWidth="1"/>
    <col min="8962" max="8962" width="50.85546875" style="413" bestFit="1" customWidth="1"/>
    <col min="8963" max="8963" width="55.85546875" style="413" bestFit="1" customWidth="1"/>
    <col min="8964" max="8964" width="26.140625" style="413" customWidth="1"/>
    <col min="8965" max="8965" width="0" style="413" hidden="1" customWidth="1"/>
    <col min="8966" max="8966" width="7.42578125" style="413" customWidth="1"/>
    <col min="8967" max="8967" width="14.5703125" style="413" customWidth="1"/>
    <col min="8968" max="9215" width="9.140625" style="413"/>
    <col min="9216" max="9216" width="14.85546875" style="413" bestFit="1" customWidth="1"/>
    <col min="9217" max="9217" width="21" style="413" customWidth="1"/>
    <col min="9218" max="9218" width="50.85546875" style="413" bestFit="1" customWidth="1"/>
    <col min="9219" max="9219" width="55.85546875" style="413" bestFit="1" customWidth="1"/>
    <col min="9220" max="9220" width="26.140625" style="413" customWidth="1"/>
    <col min="9221" max="9221" width="0" style="413" hidden="1" customWidth="1"/>
    <col min="9222" max="9222" width="7.42578125" style="413" customWidth="1"/>
    <col min="9223" max="9223" width="14.5703125" style="413" customWidth="1"/>
    <col min="9224" max="9471" width="9.140625" style="413"/>
    <col min="9472" max="9472" width="14.85546875" style="413" bestFit="1" customWidth="1"/>
    <col min="9473" max="9473" width="21" style="413" customWidth="1"/>
    <col min="9474" max="9474" width="50.85546875" style="413" bestFit="1" customWidth="1"/>
    <col min="9475" max="9475" width="55.85546875" style="413" bestFit="1" customWidth="1"/>
    <col min="9476" max="9476" width="26.140625" style="413" customWidth="1"/>
    <col min="9477" max="9477" width="0" style="413" hidden="1" customWidth="1"/>
    <col min="9478" max="9478" width="7.42578125" style="413" customWidth="1"/>
    <col min="9479" max="9479" width="14.5703125" style="413" customWidth="1"/>
    <col min="9480" max="9727" width="9.140625" style="413"/>
    <col min="9728" max="9728" width="14.85546875" style="413" bestFit="1" customWidth="1"/>
    <col min="9729" max="9729" width="21" style="413" customWidth="1"/>
    <col min="9730" max="9730" width="50.85546875" style="413" bestFit="1" customWidth="1"/>
    <col min="9731" max="9731" width="55.85546875" style="413" bestFit="1" customWidth="1"/>
    <col min="9732" max="9732" width="26.140625" style="413" customWidth="1"/>
    <col min="9733" max="9733" width="0" style="413" hidden="1" customWidth="1"/>
    <col min="9734" max="9734" width="7.42578125" style="413" customWidth="1"/>
    <col min="9735" max="9735" width="14.5703125" style="413" customWidth="1"/>
    <col min="9736" max="9983" width="9.140625" style="413"/>
    <col min="9984" max="9984" width="14.85546875" style="413" bestFit="1" customWidth="1"/>
    <col min="9985" max="9985" width="21" style="413" customWidth="1"/>
    <col min="9986" max="9986" width="50.85546875" style="413" bestFit="1" customWidth="1"/>
    <col min="9987" max="9987" width="55.85546875" style="413" bestFit="1" customWidth="1"/>
    <col min="9988" max="9988" width="26.140625" style="413" customWidth="1"/>
    <col min="9989" max="9989" width="0" style="413" hidden="1" customWidth="1"/>
    <col min="9990" max="9990" width="7.42578125" style="413" customWidth="1"/>
    <col min="9991" max="9991" width="14.5703125" style="413" customWidth="1"/>
    <col min="9992" max="10239" width="9.140625" style="413"/>
    <col min="10240" max="10240" width="14.85546875" style="413" bestFit="1" customWidth="1"/>
    <col min="10241" max="10241" width="21" style="413" customWidth="1"/>
    <col min="10242" max="10242" width="50.85546875" style="413" bestFit="1" customWidth="1"/>
    <col min="10243" max="10243" width="55.85546875" style="413" bestFit="1" customWidth="1"/>
    <col min="10244" max="10244" width="26.140625" style="413" customWidth="1"/>
    <col min="10245" max="10245" width="0" style="413" hidden="1" customWidth="1"/>
    <col min="10246" max="10246" width="7.42578125" style="413" customWidth="1"/>
    <col min="10247" max="10247" width="14.5703125" style="413" customWidth="1"/>
    <col min="10248" max="10495" width="9.140625" style="413"/>
    <col min="10496" max="10496" width="14.85546875" style="413" bestFit="1" customWidth="1"/>
    <col min="10497" max="10497" width="21" style="413" customWidth="1"/>
    <col min="10498" max="10498" width="50.85546875" style="413" bestFit="1" customWidth="1"/>
    <col min="10499" max="10499" width="55.85546875" style="413" bestFit="1" customWidth="1"/>
    <col min="10500" max="10500" width="26.140625" style="413" customWidth="1"/>
    <col min="10501" max="10501" width="0" style="413" hidden="1" customWidth="1"/>
    <col min="10502" max="10502" width="7.42578125" style="413" customWidth="1"/>
    <col min="10503" max="10503" width="14.5703125" style="413" customWidth="1"/>
    <col min="10504" max="10751" width="9.140625" style="413"/>
    <col min="10752" max="10752" width="14.85546875" style="413" bestFit="1" customWidth="1"/>
    <col min="10753" max="10753" width="21" style="413" customWidth="1"/>
    <col min="10754" max="10754" width="50.85546875" style="413" bestFit="1" customWidth="1"/>
    <col min="10755" max="10755" width="55.85546875" style="413" bestFit="1" customWidth="1"/>
    <col min="10756" max="10756" width="26.140625" style="413" customWidth="1"/>
    <col min="10757" max="10757" width="0" style="413" hidden="1" customWidth="1"/>
    <col min="10758" max="10758" width="7.42578125" style="413" customWidth="1"/>
    <col min="10759" max="10759" width="14.5703125" style="413" customWidth="1"/>
    <col min="10760" max="11007" width="9.140625" style="413"/>
    <col min="11008" max="11008" width="14.85546875" style="413" bestFit="1" customWidth="1"/>
    <col min="11009" max="11009" width="21" style="413" customWidth="1"/>
    <col min="11010" max="11010" width="50.85546875" style="413" bestFit="1" customWidth="1"/>
    <col min="11011" max="11011" width="55.85546875" style="413" bestFit="1" customWidth="1"/>
    <col min="11012" max="11012" width="26.140625" style="413" customWidth="1"/>
    <col min="11013" max="11013" width="0" style="413" hidden="1" customWidth="1"/>
    <col min="11014" max="11014" width="7.42578125" style="413" customWidth="1"/>
    <col min="11015" max="11015" width="14.5703125" style="413" customWidth="1"/>
    <col min="11016" max="11263" width="9.140625" style="413"/>
    <col min="11264" max="11264" width="14.85546875" style="413" bestFit="1" customWidth="1"/>
    <col min="11265" max="11265" width="21" style="413" customWidth="1"/>
    <col min="11266" max="11266" width="50.85546875" style="413" bestFit="1" customWidth="1"/>
    <col min="11267" max="11267" width="55.85546875" style="413" bestFit="1" customWidth="1"/>
    <col min="11268" max="11268" width="26.140625" style="413" customWidth="1"/>
    <col min="11269" max="11269" width="0" style="413" hidden="1" customWidth="1"/>
    <col min="11270" max="11270" width="7.42578125" style="413" customWidth="1"/>
    <col min="11271" max="11271" width="14.5703125" style="413" customWidth="1"/>
    <col min="11272" max="11519" width="9.140625" style="413"/>
    <col min="11520" max="11520" width="14.85546875" style="413" bestFit="1" customWidth="1"/>
    <col min="11521" max="11521" width="21" style="413" customWidth="1"/>
    <col min="11522" max="11522" width="50.85546875" style="413" bestFit="1" customWidth="1"/>
    <col min="11523" max="11523" width="55.85546875" style="413" bestFit="1" customWidth="1"/>
    <col min="11524" max="11524" width="26.140625" style="413" customWidth="1"/>
    <col min="11525" max="11525" width="0" style="413" hidden="1" customWidth="1"/>
    <col min="11526" max="11526" width="7.42578125" style="413" customWidth="1"/>
    <col min="11527" max="11527" width="14.5703125" style="413" customWidth="1"/>
    <col min="11528" max="11775" width="9.140625" style="413"/>
    <col min="11776" max="11776" width="14.85546875" style="413" bestFit="1" customWidth="1"/>
    <col min="11777" max="11777" width="21" style="413" customWidth="1"/>
    <col min="11778" max="11778" width="50.85546875" style="413" bestFit="1" customWidth="1"/>
    <col min="11779" max="11779" width="55.85546875" style="413" bestFit="1" customWidth="1"/>
    <col min="11780" max="11780" width="26.140625" style="413" customWidth="1"/>
    <col min="11781" max="11781" width="0" style="413" hidden="1" customWidth="1"/>
    <col min="11782" max="11782" width="7.42578125" style="413" customWidth="1"/>
    <col min="11783" max="11783" width="14.5703125" style="413" customWidth="1"/>
    <col min="11784" max="12031" width="9.140625" style="413"/>
    <col min="12032" max="12032" width="14.85546875" style="413" bestFit="1" customWidth="1"/>
    <col min="12033" max="12033" width="21" style="413" customWidth="1"/>
    <col min="12034" max="12034" width="50.85546875" style="413" bestFit="1" customWidth="1"/>
    <col min="12035" max="12035" width="55.85546875" style="413" bestFit="1" customWidth="1"/>
    <col min="12036" max="12036" width="26.140625" style="413" customWidth="1"/>
    <col min="12037" max="12037" width="0" style="413" hidden="1" customWidth="1"/>
    <col min="12038" max="12038" width="7.42578125" style="413" customWidth="1"/>
    <col min="12039" max="12039" width="14.5703125" style="413" customWidth="1"/>
    <col min="12040" max="12287" width="9.140625" style="413"/>
    <col min="12288" max="12288" width="14.85546875" style="413" bestFit="1" customWidth="1"/>
    <col min="12289" max="12289" width="21" style="413" customWidth="1"/>
    <col min="12290" max="12290" width="50.85546875" style="413" bestFit="1" customWidth="1"/>
    <col min="12291" max="12291" width="55.85546875" style="413" bestFit="1" customWidth="1"/>
    <col min="12292" max="12292" width="26.140625" style="413" customWidth="1"/>
    <col min="12293" max="12293" width="0" style="413" hidden="1" customWidth="1"/>
    <col min="12294" max="12294" width="7.42578125" style="413" customWidth="1"/>
    <col min="12295" max="12295" width="14.5703125" style="413" customWidth="1"/>
    <col min="12296" max="12543" width="9.140625" style="413"/>
    <col min="12544" max="12544" width="14.85546875" style="413" bestFit="1" customWidth="1"/>
    <col min="12545" max="12545" width="21" style="413" customWidth="1"/>
    <col min="12546" max="12546" width="50.85546875" style="413" bestFit="1" customWidth="1"/>
    <col min="12547" max="12547" width="55.85546875" style="413" bestFit="1" customWidth="1"/>
    <col min="12548" max="12548" width="26.140625" style="413" customWidth="1"/>
    <col min="12549" max="12549" width="0" style="413" hidden="1" customWidth="1"/>
    <col min="12550" max="12550" width="7.42578125" style="413" customWidth="1"/>
    <col min="12551" max="12551" width="14.5703125" style="413" customWidth="1"/>
    <col min="12552" max="12799" width="9.140625" style="413"/>
    <col min="12800" max="12800" width="14.85546875" style="413" bestFit="1" customWidth="1"/>
    <col min="12801" max="12801" width="21" style="413" customWidth="1"/>
    <col min="12802" max="12802" width="50.85546875" style="413" bestFit="1" customWidth="1"/>
    <col min="12803" max="12803" width="55.85546875" style="413" bestFit="1" customWidth="1"/>
    <col min="12804" max="12804" width="26.140625" style="413" customWidth="1"/>
    <col min="12805" max="12805" width="0" style="413" hidden="1" customWidth="1"/>
    <col min="12806" max="12806" width="7.42578125" style="413" customWidth="1"/>
    <col min="12807" max="12807" width="14.5703125" style="413" customWidth="1"/>
    <col min="12808" max="13055" width="9.140625" style="413"/>
    <col min="13056" max="13056" width="14.85546875" style="413" bestFit="1" customWidth="1"/>
    <col min="13057" max="13057" width="21" style="413" customWidth="1"/>
    <col min="13058" max="13058" width="50.85546875" style="413" bestFit="1" customWidth="1"/>
    <col min="13059" max="13059" width="55.85546875" style="413" bestFit="1" customWidth="1"/>
    <col min="13060" max="13060" width="26.140625" style="413" customWidth="1"/>
    <col min="13061" max="13061" width="0" style="413" hidden="1" customWidth="1"/>
    <col min="13062" max="13062" width="7.42578125" style="413" customWidth="1"/>
    <col min="13063" max="13063" width="14.5703125" style="413" customWidth="1"/>
    <col min="13064" max="13311" width="9.140625" style="413"/>
    <col min="13312" max="13312" width="14.85546875" style="413" bestFit="1" customWidth="1"/>
    <col min="13313" max="13313" width="21" style="413" customWidth="1"/>
    <col min="13314" max="13314" width="50.85546875" style="413" bestFit="1" customWidth="1"/>
    <col min="13315" max="13315" width="55.85546875" style="413" bestFit="1" customWidth="1"/>
    <col min="13316" max="13316" width="26.140625" style="413" customWidth="1"/>
    <col min="13317" max="13317" width="0" style="413" hidden="1" customWidth="1"/>
    <col min="13318" max="13318" width="7.42578125" style="413" customWidth="1"/>
    <col min="13319" max="13319" width="14.5703125" style="413" customWidth="1"/>
    <col min="13320" max="13567" width="9.140625" style="413"/>
    <col min="13568" max="13568" width="14.85546875" style="413" bestFit="1" customWidth="1"/>
    <col min="13569" max="13569" width="21" style="413" customWidth="1"/>
    <col min="13570" max="13570" width="50.85546875" style="413" bestFit="1" customWidth="1"/>
    <col min="13571" max="13571" width="55.85546875" style="413" bestFit="1" customWidth="1"/>
    <col min="13572" max="13572" width="26.140625" style="413" customWidth="1"/>
    <col min="13573" max="13573" width="0" style="413" hidden="1" customWidth="1"/>
    <col min="13574" max="13574" width="7.42578125" style="413" customWidth="1"/>
    <col min="13575" max="13575" width="14.5703125" style="413" customWidth="1"/>
    <col min="13576" max="13823" width="9.140625" style="413"/>
    <col min="13824" max="13824" width="14.85546875" style="413" bestFit="1" customWidth="1"/>
    <col min="13825" max="13825" width="21" style="413" customWidth="1"/>
    <col min="13826" max="13826" width="50.85546875" style="413" bestFit="1" customWidth="1"/>
    <col min="13827" max="13827" width="55.85546875" style="413" bestFit="1" customWidth="1"/>
    <col min="13828" max="13828" width="26.140625" style="413" customWidth="1"/>
    <col min="13829" max="13829" width="0" style="413" hidden="1" customWidth="1"/>
    <col min="13830" max="13830" width="7.42578125" style="413" customWidth="1"/>
    <col min="13831" max="13831" width="14.5703125" style="413" customWidth="1"/>
    <col min="13832" max="14079" width="9.140625" style="413"/>
    <col min="14080" max="14080" width="14.85546875" style="413" bestFit="1" customWidth="1"/>
    <col min="14081" max="14081" width="21" style="413" customWidth="1"/>
    <col min="14082" max="14082" width="50.85546875" style="413" bestFit="1" customWidth="1"/>
    <col min="14083" max="14083" width="55.85546875" style="413" bestFit="1" customWidth="1"/>
    <col min="14084" max="14084" width="26.140625" style="413" customWidth="1"/>
    <col min="14085" max="14085" width="0" style="413" hidden="1" customWidth="1"/>
    <col min="14086" max="14086" width="7.42578125" style="413" customWidth="1"/>
    <col min="14087" max="14087" width="14.5703125" style="413" customWidth="1"/>
    <col min="14088" max="14335" width="9.140625" style="413"/>
    <col min="14336" max="14336" width="14.85546875" style="413" bestFit="1" customWidth="1"/>
    <col min="14337" max="14337" width="21" style="413" customWidth="1"/>
    <col min="14338" max="14338" width="50.85546875" style="413" bestFit="1" customWidth="1"/>
    <col min="14339" max="14339" width="55.85546875" style="413" bestFit="1" customWidth="1"/>
    <col min="14340" max="14340" width="26.140625" style="413" customWidth="1"/>
    <col min="14341" max="14341" width="0" style="413" hidden="1" customWidth="1"/>
    <col min="14342" max="14342" width="7.42578125" style="413" customWidth="1"/>
    <col min="14343" max="14343" width="14.5703125" style="413" customWidth="1"/>
    <col min="14344" max="14591" width="9.140625" style="413"/>
    <col min="14592" max="14592" width="14.85546875" style="413" bestFit="1" customWidth="1"/>
    <col min="14593" max="14593" width="21" style="413" customWidth="1"/>
    <col min="14594" max="14594" width="50.85546875" style="413" bestFit="1" customWidth="1"/>
    <col min="14595" max="14595" width="55.85546875" style="413" bestFit="1" customWidth="1"/>
    <col min="14596" max="14596" width="26.140625" style="413" customWidth="1"/>
    <col min="14597" max="14597" width="0" style="413" hidden="1" customWidth="1"/>
    <col min="14598" max="14598" width="7.42578125" style="413" customWidth="1"/>
    <col min="14599" max="14599" width="14.5703125" style="413" customWidth="1"/>
    <col min="14600" max="14847" width="9.140625" style="413"/>
    <col min="14848" max="14848" width="14.85546875" style="413" bestFit="1" customWidth="1"/>
    <col min="14849" max="14849" width="21" style="413" customWidth="1"/>
    <col min="14850" max="14850" width="50.85546875" style="413" bestFit="1" customWidth="1"/>
    <col min="14851" max="14851" width="55.85546875" style="413" bestFit="1" customWidth="1"/>
    <col min="14852" max="14852" width="26.140625" style="413" customWidth="1"/>
    <col min="14853" max="14853" width="0" style="413" hidden="1" customWidth="1"/>
    <col min="14854" max="14854" width="7.42578125" style="413" customWidth="1"/>
    <col min="14855" max="14855" width="14.5703125" style="413" customWidth="1"/>
    <col min="14856" max="15103" width="9.140625" style="413"/>
    <col min="15104" max="15104" width="14.85546875" style="413" bestFit="1" customWidth="1"/>
    <col min="15105" max="15105" width="21" style="413" customWidth="1"/>
    <col min="15106" max="15106" width="50.85546875" style="413" bestFit="1" customWidth="1"/>
    <col min="15107" max="15107" width="55.85546875" style="413" bestFit="1" customWidth="1"/>
    <col min="15108" max="15108" width="26.140625" style="413" customWidth="1"/>
    <col min="15109" max="15109" width="0" style="413" hidden="1" customWidth="1"/>
    <col min="15110" max="15110" width="7.42578125" style="413" customWidth="1"/>
    <col min="15111" max="15111" width="14.5703125" style="413" customWidth="1"/>
    <col min="15112" max="15359" width="9.140625" style="413"/>
    <col min="15360" max="15360" width="14.85546875" style="413" bestFit="1" customWidth="1"/>
    <col min="15361" max="15361" width="21" style="413" customWidth="1"/>
    <col min="15362" max="15362" width="50.85546875" style="413" bestFit="1" customWidth="1"/>
    <col min="15363" max="15363" width="55.85546875" style="413" bestFit="1" customWidth="1"/>
    <col min="15364" max="15364" width="26.140625" style="413" customWidth="1"/>
    <col min="15365" max="15365" width="0" style="413" hidden="1" customWidth="1"/>
    <col min="15366" max="15366" width="7.42578125" style="413" customWidth="1"/>
    <col min="15367" max="15367" width="14.5703125" style="413" customWidth="1"/>
    <col min="15368" max="15615" width="9.140625" style="413"/>
    <col min="15616" max="15616" width="14.85546875" style="413" bestFit="1" customWidth="1"/>
    <col min="15617" max="15617" width="21" style="413" customWidth="1"/>
    <col min="15618" max="15618" width="50.85546875" style="413" bestFit="1" customWidth="1"/>
    <col min="15619" max="15619" width="55.85546875" style="413" bestFit="1" customWidth="1"/>
    <col min="15620" max="15620" width="26.140625" style="413" customWidth="1"/>
    <col min="15621" max="15621" width="0" style="413" hidden="1" customWidth="1"/>
    <col min="15622" max="15622" width="7.42578125" style="413" customWidth="1"/>
    <col min="15623" max="15623" width="14.5703125" style="413" customWidth="1"/>
    <col min="15624" max="15871" width="9.140625" style="413"/>
    <col min="15872" max="15872" width="14.85546875" style="413" bestFit="1" customWidth="1"/>
    <col min="15873" max="15873" width="21" style="413" customWidth="1"/>
    <col min="15874" max="15874" width="50.85546875" style="413" bestFit="1" customWidth="1"/>
    <col min="15875" max="15875" width="55.85546875" style="413" bestFit="1" customWidth="1"/>
    <col min="15876" max="15876" width="26.140625" style="413" customWidth="1"/>
    <col min="15877" max="15877" width="0" style="413" hidden="1" customWidth="1"/>
    <col min="15878" max="15878" width="7.42578125" style="413" customWidth="1"/>
    <col min="15879" max="15879" width="14.5703125" style="413" customWidth="1"/>
    <col min="15880" max="16127" width="9.140625" style="413"/>
    <col min="16128" max="16128" width="14.85546875" style="413" bestFit="1" customWidth="1"/>
    <col min="16129" max="16129" width="21" style="413" customWidth="1"/>
    <col min="16130" max="16130" width="50.85546875" style="413" bestFit="1" customWidth="1"/>
    <col min="16131" max="16131" width="55.85546875" style="413" bestFit="1" customWidth="1"/>
    <col min="16132" max="16132" width="26.140625" style="413" customWidth="1"/>
    <col min="16133" max="16133" width="0" style="413" hidden="1" customWidth="1"/>
    <col min="16134" max="16134" width="7.42578125" style="413" customWidth="1"/>
    <col min="16135" max="16135" width="14.5703125" style="413" customWidth="1"/>
    <col min="16136" max="16384" width="9.140625" style="413"/>
  </cols>
  <sheetData>
    <row r="1" spans="1:8" s="407" customFormat="1" ht="18.75" x14ac:dyDescent="0.3">
      <c r="A1" s="406" t="s">
        <v>230</v>
      </c>
      <c r="C1" s="408"/>
      <c r="D1" s="409" t="s">
        <v>231</v>
      </c>
      <c r="E1" s="410">
        <v>43241</v>
      </c>
      <c r="F1" s="411"/>
      <c r="G1" s="412"/>
    </row>
    <row r="2" spans="1:8" ht="15" x14ac:dyDescent="0.25">
      <c r="A2" s="394"/>
      <c r="E2" s="247" t="s">
        <v>37</v>
      </c>
    </row>
    <row r="3" spans="1:8" ht="13.5" thickBot="1" x14ac:dyDescent="0.25">
      <c r="A3" s="415"/>
      <c r="B3" s="415"/>
      <c r="C3" s="414"/>
    </row>
    <row r="4" spans="1:8" s="414" customFormat="1" ht="21.75" thickBot="1" x14ac:dyDescent="0.25">
      <c r="A4" s="416"/>
      <c r="B4" s="416"/>
      <c r="C4" s="590" t="s">
        <v>232</v>
      </c>
      <c r="D4" s="591"/>
      <c r="H4" s="413"/>
    </row>
    <row r="5" spans="1:8" s="414" customFormat="1" ht="16.5" thickBot="1" x14ac:dyDescent="0.3">
      <c r="A5" s="417" t="s">
        <v>233</v>
      </c>
      <c r="B5" s="418" t="s">
        <v>234</v>
      </c>
      <c r="C5" s="419" t="s">
        <v>235</v>
      </c>
      <c r="D5" s="420" t="s">
        <v>236</v>
      </c>
      <c r="H5" s="413"/>
    </row>
    <row r="6" spans="1:8" s="414" customFormat="1" ht="15" customHeight="1" x14ac:dyDescent="0.2">
      <c r="A6" s="592" t="s">
        <v>237</v>
      </c>
      <c r="B6" s="592" t="s">
        <v>198</v>
      </c>
      <c r="C6" s="600" t="s">
        <v>210</v>
      </c>
      <c r="D6" s="421" t="s">
        <v>238</v>
      </c>
      <c r="E6" s="422"/>
      <c r="H6" s="413"/>
    </row>
    <row r="7" spans="1:8" s="414" customFormat="1" ht="15" customHeight="1" x14ac:dyDescent="0.2">
      <c r="A7" s="592"/>
      <c r="B7" s="592"/>
      <c r="C7" s="601"/>
      <c r="D7" s="426" t="s">
        <v>239</v>
      </c>
      <c r="E7" s="423"/>
      <c r="H7" s="413"/>
    </row>
    <row r="8" spans="1:8" s="414" customFormat="1" ht="15.75" customHeight="1" x14ac:dyDescent="0.2">
      <c r="A8" s="592"/>
      <c r="B8" s="592"/>
      <c r="C8" s="601"/>
      <c r="D8" s="426" t="s">
        <v>240</v>
      </c>
      <c r="E8" s="423"/>
      <c r="H8" s="413"/>
    </row>
    <row r="9" spans="1:8" s="414" customFormat="1" ht="15" x14ac:dyDescent="0.2">
      <c r="A9" s="592"/>
      <c r="B9" s="592"/>
      <c r="C9" s="601"/>
      <c r="D9" s="426" t="s">
        <v>241</v>
      </c>
      <c r="E9" s="423"/>
      <c r="H9" s="413"/>
    </row>
    <row r="10" spans="1:8" s="414" customFormat="1" ht="15" x14ac:dyDescent="0.2">
      <c r="A10" s="592"/>
      <c r="B10" s="592"/>
      <c r="C10" s="601"/>
      <c r="D10" s="426" t="s">
        <v>242</v>
      </c>
      <c r="E10" s="423"/>
      <c r="H10" s="413"/>
    </row>
    <row r="11" spans="1:8" s="414" customFormat="1" ht="15" x14ac:dyDescent="0.2">
      <c r="A11" s="592"/>
      <c r="B11" s="592"/>
      <c r="C11" s="601"/>
      <c r="D11" s="426" t="s">
        <v>243</v>
      </c>
      <c r="E11" s="423"/>
      <c r="H11" s="459"/>
    </row>
    <row r="12" spans="1:8" s="414" customFormat="1" ht="15" x14ac:dyDescent="0.2">
      <c r="A12" s="592"/>
      <c r="B12" s="592"/>
      <c r="C12" s="601"/>
      <c r="D12" s="426" t="s">
        <v>244</v>
      </c>
      <c r="E12" s="423"/>
      <c r="H12" s="460"/>
    </row>
    <row r="13" spans="1:8" s="414" customFormat="1" ht="15.75" thickBot="1" x14ac:dyDescent="0.25">
      <c r="A13" s="592"/>
      <c r="B13" s="592"/>
      <c r="C13" s="602"/>
      <c r="D13" s="424" t="s">
        <v>245</v>
      </c>
      <c r="E13" s="423"/>
      <c r="G13" s="458"/>
      <c r="H13" s="413"/>
    </row>
    <row r="14" spans="1:8" s="414" customFormat="1" ht="15" customHeight="1" x14ac:dyDescent="0.2">
      <c r="A14" s="592"/>
      <c r="B14" s="592"/>
      <c r="C14" s="595" t="s">
        <v>211</v>
      </c>
      <c r="D14" s="425" t="s">
        <v>246</v>
      </c>
      <c r="E14" s="423"/>
      <c r="G14" s="456"/>
      <c r="H14" s="413"/>
    </row>
    <row r="15" spans="1:8" s="414" customFormat="1" ht="15" customHeight="1" x14ac:dyDescent="0.2">
      <c r="A15" s="592"/>
      <c r="B15" s="592"/>
      <c r="C15" s="592"/>
      <c r="D15" s="425" t="s">
        <v>247</v>
      </c>
      <c r="E15" s="423"/>
      <c r="G15" s="456"/>
    </row>
    <row r="16" spans="1:8" s="414" customFormat="1" ht="15" customHeight="1" x14ac:dyDescent="0.2">
      <c r="A16" s="592"/>
      <c r="B16" s="592"/>
      <c r="C16" s="592"/>
      <c r="D16" s="425" t="s">
        <v>248</v>
      </c>
      <c r="E16" s="423"/>
      <c r="G16" s="456"/>
      <c r="H16" s="413"/>
    </row>
    <row r="17" spans="1:8" s="414" customFormat="1" ht="15.75" customHeight="1" thickBot="1" x14ac:dyDescent="0.25">
      <c r="A17" s="592"/>
      <c r="B17" s="592"/>
      <c r="C17" s="592"/>
      <c r="D17" s="429" t="s">
        <v>249</v>
      </c>
      <c r="E17" s="427"/>
      <c r="G17" s="456"/>
      <c r="H17" s="413"/>
    </row>
    <row r="18" spans="1:8" s="414" customFormat="1" ht="16.5" customHeight="1" x14ac:dyDescent="0.2">
      <c r="A18" s="592"/>
      <c r="B18" s="592"/>
      <c r="C18" s="603" t="s">
        <v>212</v>
      </c>
      <c r="D18" s="421" t="s">
        <v>250</v>
      </c>
      <c r="G18" s="456"/>
      <c r="H18" s="413"/>
    </row>
    <row r="19" spans="1:8" s="414" customFormat="1" ht="15" x14ac:dyDescent="0.2">
      <c r="A19" s="592"/>
      <c r="B19" s="592"/>
      <c r="C19" s="594"/>
      <c r="D19" s="426" t="s">
        <v>251</v>
      </c>
      <c r="G19" s="456"/>
    </row>
    <row r="20" spans="1:8" s="414" customFormat="1" ht="15" x14ac:dyDescent="0.2">
      <c r="A20" s="592"/>
      <c r="B20" s="592"/>
      <c r="C20" s="594"/>
      <c r="D20" s="426" t="s">
        <v>252</v>
      </c>
      <c r="G20" s="456"/>
      <c r="H20" s="413"/>
    </row>
    <row r="21" spans="1:8" s="414" customFormat="1" ht="15.75" thickBot="1" x14ac:dyDescent="0.25">
      <c r="A21" s="592"/>
      <c r="B21" s="592"/>
      <c r="C21" s="604"/>
      <c r="D21" s="424" t="s">
        <v>253</v>
      </c>
      <c r="G21" s="456"/>
      <c r="H21" s="413"/>
    </row>
    <row r="22" spans="1:8" s="414" customFormat="1" ht="15" customHeight="1" x14ac:dyDescent="0.2">
      <c r="A22" s="592"/>
      <c r="B22" s="592"/>
      <c r="C22" s="605" t="s">
        <v>213</v>
      </c>
      <c r="D22" s="430" t="s">
        <v>254</v>
      </c>
      <c r="G22" s="457"/>
      <c r="H22" s="413"/>
    </row>
    <row r="23" spans="1:8" ht="15" customHeight="1" x14ac:dyDescent="0.2">
      <c r="A23" s="592"/>
      <c r="B23" s="592"/>
      <c r="C23" s="606"/>
      <c r="D23" s="426" t="s">
        <v>255</v>
      </c>
      <c r="G23" s="458"/>
    </row>
    <row r="24" spans="1:8" ht="15" customHeight="1" x14ac:dyDescent="0.2">
      <c r="A24" s="592"/>
      <c r="B24" s="592"/>
      <c r="C24" s="606"/>
      <c r="D24" s="426" t="s">
        <v>256</v>
      </c>
    </row>
    <row r="25" spans="1:8" ht="15" customHeight="1" x14ac:dyDescent="0.2">
      <c r="A25" s="592"/>
      <c r="B25" s="592"/>
      <c r="C25" s="606"/>
      <c r="D25" s="426" t="s">
        <v>257</v>
      </c>
    </row>
    <row r="26" spans="1:8" ht="15" customHeight="1" x14ac:dyDescent="0.2">
      <c r="A26" s="592"/>
      <c r="B26" s="592"/>
      <c r="C26" s="606"/>
      <c r="D26" s="426" t="s">
        <v>258</v>
      </c>
    </row>
    <row r="27" spans="1:8" ht="15.75" customHeight="1" x14ac:dyDescent="0.2">
      <c r="A27" s="592"/>
      <c r="B27" s="592"/>
      <c r="C27" s="606"/>
      <c r="D27" s="426" t="s">
        <v>259</v>
      </c>
    </row>
    <row r="28" spans="1:8" ht="15" customHeight="1" x14ac:dyDescent="0.2">
      <c r="A28" s="592"/>
      <c r="B28" s="592"/>
      <c r="C28" s="606"/>
      <c r="D28" s="430" t="s">
        <v>260</v>
      </c>
    </row>
    <row r="29" spans="1:8" ht="15" customHeight="1" x14ac:dyDescent="0.2">
      <c r="A29" s="592"/>
      <c r="B29" s="592"/>
      <c r="C29" s="606"/>
      <c r="D29" s="426" t="s">
        <v>261</v>
      </c>
    </row>
    <row r="30" spans="1:8" ht="15" customHeight="1" x14ac:dyDescent="0.2">
      <c r="A30" s="592"/>
      <c r="B30" s="592"/>
      <c r="C30" s="606"/>
      <c r="D30" s="426" t="s">
        <v>262</v>
      </c>
    </row>
    <row r="31" spans="1:8" ht="15" customHeight="1" x14ac:dyDescent="0.2">
      <c r="A31" s="592"/>
      <c r="B31" s="592"/>
      <c r="C31" s="606"/>
      <c r="D31" s="426" t="s">
        <v>263</v>
      </c>
    </row>
    <row r="32" spans="1:8" ht="15" customHeight="1" x14ac:dyDescent="0.2">
      <c r="A32" s="592"/>
      <c r="B32" s="592"/>
      <c r="C32" s="606"/>
      <c r="D32" s="426" t="s">
        <v>264</v>
      </c>
    </row>
    <row r="33" spans="1:8" ht="15" customHeight="1" x14ac:dyDescent="0.2">
      <c r="A33" s="592"/>
      <c r="B33" s="592"/>
      <c r="C33" s="606"/>
      <c r="D33" s="426" t="s">
        <v>265</v>
      </c>
    </row>
    <row r="34" spans="1:8" ht="15.75" customHeight="1" thickBot="1" x14ac:dyDescent="0.25">
      <c r="A34" s="592"/>
      <c r="B34" s="592"/>
      <c r="C34" s="607"/>
      <c r="D34" s="429" t="s">
        <v>266</v>
      </c>
      <c r="F34" s="428"/>
      <c r="G34" s="428"/>
      <c r="H34" s="428"/>
    </row>
    <row r="35" spans="1:8" ht="15" customHeight="1" x14ac:dyDescent="0.2">
      <c r="A35" s="592"/>
      <c r="B35" s="592"/>
      <c r="C35" s="598" t="s">
        <v>214</v>
      </c>
      <c r="D35" s="421" t="s">
        <v>267</v>
      </c>
      <c r="F35" s="428"/>
      <c r="G35" s="428"/>
      <c r="H35" s="428"/>
    </row>
    <row r="36" spans="1:8" ht="15" customHeight="1" x14ac:dyDescent="0.2">
      <c r="A36" s="592"/>
      <c r="B36" s="592"/>
      <c r="C36" s="599"/>
      <c r="D36" s="426" t="s">
        <v>268</v>
      </c>
      <c r="F36" s="428"/>
      <c r="G36" s="428"/>
    </row>
    <row r="37" spans="1:8" ht="15" customHeight="1" x14ac:dyDescent="0.2">
      <c r="A37" s="592"/>
      <c r="B37" s="592"/>
      <c r="C37" s="599"/>
      <c r="D37" s="426" t="s">
        <v>269</v>
      </c>
      <c r="F37" s="428"/>
      <c r="G37" s="428"/>
      <c r="H37" s="428"/>
    </row>
    <row r="38" spans="1:8" ht="15" customHeight="1" x14ac:dyDescent="0.2">
      <c r="A38" s="592"/>
      <c r="B38" s="592"/>
      <c r="C38" s="599"/>
      <c r="D38" s="426" t="s">
        <v>270</v>
      </c>
    </row>
    <row r="39" spans="1:8" ht="16.5" customHeight="1" x14ac:dyDescent="0.2">
      <c r="A39" s="592"/>
      <c r="B39" s="592"/>
      <c r="C39" s="599"/>
      <c r="D39" s="426" t="s">
        <v>271</v>
      </c>
      <c r="F39" s="431"/>
      <c r="G39" s="431"/>
      <c r="H39" s="431"/>
    </row>
    <row r="40" spans="1:8" ht="16.5" customHeight="1" x14ac:dyDescent="0.2">
      <c r="A40" s="592"/>
      <c r="B40" s="594"/>
      <c r="C40" s="599"/>
      <c r="D40" s="426" t="s">
        <v>272</v>
      </c>
      <c r="F40" s="431"/>
      <c r="G40" s="431"/>
      <c r="H40" s="431"/>
    </row>
    <row r="41" spans="1:8" ht="16.5" customHeight="1" x14ac:dyDescent="0.2">
      <c r="A41" s="592"/>
      <c r="B41" s="594"/>
      <c r="C41" s="599"/>
      <c r="D41" s="426" t="s">
        <v>273</v>
      </c>
      <c r="F41" s="431"/>
      <c r="G41" s="431"/>
      <c r="H41" s="431"/>
    </row>
    <row r="42" spans="1:8" ht="16.5" customHeight="1" thickBot="1" x14ac:dyDescent="0.25">
      <c r="A42" s="592"/>
      <c r="B42" s="594"/>
      <c r="C42" s="608"/>
      <c r="D42" s="429" t="s">
        <v>274</v>
      </c>
      <c r="F42" s="431"/>
      <c r="G42" s="431"/>
      <c r="H42" s="431"/>
    </row>
    <row r="43" spans="1:8" ht="15.75" customHeight="1" x14ac:dyDescent="0.2">
      <c r="A43" s="592"/>
      <c r="B43" s="594"/>
      <c r="C43" s="598" t="s">
        <v>215</v>
      </c>
      <c r="D43" s="421" t="s">
        <v>275</v>
      </c>
      <c r="F43" s="431"/>
      <c r="G43" s="431"/>
      <c r="H43" s="431"/>
    </row>
    <row r="44" spans="1:8" ht="15" x14ac:dyDescent="0.2">
      <c r="A44" s="592"/>
      <c r="B44" s="594"/>
      <c r="C44" s="599"/>
      <c r="D44" s="426" t="s">
        <v>276</v>
      </c>
      <c r="F44" s="431"/>
      <c r="G44" s="431"/>
    </row>
    <row r="45" spans="1:8" ht="15" x14ac:dyDescent="0.2">
      <c r="A45" s="592"/>
      <c r="B45" s="594"/>
      <c r="C45" s="599"/>
      <c r="D45" s="426" t="s">
        <v>277</v>
      </c>
      <c r="F45" s="431"/>
      <c r="G45" s="431"/>
      <c r="H45" s="431"/>
    </row>
    <row r="46" spans="1:8" ht="15" x14ac:dyDescent="0.2">
      <c r="A46" s="592"/>
      <c r="B46" s="594"/>
      <c r="C46" s="599"/>
      <c r="D46" s="426" t="s">
        <v>278</v>
      </c>
      <c r="F46" s="431"/>
      <c r="G46" s="431"/>
      <c r="H46" s="431"/>
    </row>
    <row r="47" spans="1:8" ht="15" x14ac:dyDescent="0.2">
      <c r="A47" s="592"/>
      <c r="B47" s="594"/>
      <c r="C47" s="599"/>
      <c r="D47" s="426" t="s">
        <v>279</v>
      </c>
      <c r="F47" s="431"/>
      <c r="G47" s="431"/>
      <c r="H47" s="431"/>
    </row>
    <row r="48" spans="1:8" ht="15" x14ac:dyDescent="0.2">
      <c r="A48" s="592"/>
      <c r="B48" s="594"/>
      <c r="C48" s="599"/>
      <c r="D48" s="426" t="s">
        <v>280</v>
      </c>
      <c r="F48" s="431"/>
      <c r="G48" s="431"/>
      <c r="H48" s="431"/>
    </row>
    <row r="49" spans="1:8" ht="15" x14ac:dyDescent="0.2">
      <c r="A49" s="592"/>
      <c r="B49" s="594"/>
      <c r="C49" s="599"/>
      <c r="D49" s="426" t="s">
        <v>281</v>
      </c>
      <c r="F49" s="431"/>
      <c r="G49" s="431"/>
      <c r="H49" s="431"/>
    </row>
    <row r="50" spans="1:8" ht="15" x14ac:dyDescent="0.2">
      <c r="A50" s="592"/>
      <c r="B50" s="594"/>
      <c r="C50" s="599"/>
      <c r="D50" s="426" t="s">
        <v>282</v>
      </c>
      <c r="F50" s="431"/>
      <c r="G50" s="431"/>
      <c r="H50" s="431"/>
    </row>
    <row r="51" spans="1:8" ht="15" x14ac:dyDescent="0.2">
      <c r="A51" s="592"/>
      <c r="B51" s="594"/>
      <c r="C51" s="599"/>
      <c r="D51" s="426" t="s">
        <v>283</v>
      </c>
      <c r="F51" s="431"/>
      <c r="G51" s="431"/>
      <c r="H51" s="431"/>
    </row>
    <row r="52" spans="1:8" ht="15" x14ac:dyDescent="0.2">
      <c r="A52" s="592"/>
      <c r="B52" s="594"/>
      <c r="C52" s="599"/>
      <c r="D52" s="426" t="s">
        <v>284</v>
      </c>
      <c r="F52" s="431"/>
      <c r="G52" s="431"/>
      <c r="H52" s="431"/>
    </row>
    <row r="53" spans="1:8" ht="15" x14ac:dyDescent="0.2">
      <c r="A53" s="592"/>
      <c r="B53" s="594"/>
      <c r="C53" s="599"/>
      <c r="D53" s="426" t="s">
        <v>285</v>
      </c>
      <c r="F53" s="431"/>
      <c r="G53" s="431"/>
      <c r="H53" s="431"/>
    </row>
    <row r="54" spans="1:8" ht="15" x14ac:dyDescent="0.2">
      <c r="A54" s="592"/>
      <c r="B54" s="594"/>
      <c r="C54" s="599"/>
      <c r="D54" s="426" t="s">
        <v>286</v>
      </c>
      <c r="F54" s="431"/>
      <c r="G54" s="431"/>
      <c r="H54" s="431"/>
    </row>
    <row r="55" spans="1:8" ht="15" x14ac:dyDescent="0.2">
      <c r="A55" s="592"/>
      <c r="B55" s="594"/>
      <c r="C55" s="599"/>
      <c r="D55" s="426" t="s">
        <v>287</v>
      </c>
      <c r="F55" s="431"/>
      <c r="G55" s="431"/>
      <c r="H55" s="431"/>
    </row>
    <row r="56" spans="1:8" ht="15" x14ac:dyDescent="0.2">
      <c r="A56" s="592"/>
      <c r="B56" s="594"/>
      <c r="C56" s="599"/>
      <c r="D56" s="426" t="s">
        <v>288</v>
      </c>
      <c r="F56" s="431"/>
      <c r="G56" s="431"/>
      <c r="H56" s="431"/>
    </row>
    <row r="57" spans="1:8" ht="15" x14ac:dyDescent="0.2">
      <c r="A57" s="592"/>
      <c r="B57" s="594"/>
      <c r="C57" s="599"/>
      <c r="D57" s="426" t="s">
        <v>289</v>
      </c>
      <c r="F57" s="431"/>
      <c r="G57" s="431"/>
      <c r="H57" s="431"/>
    </row>
    <row r="58" spans="1:8" ht="15" x14ac:dyDescent="0.2">
      <c r="A58" s="592"/>
      <c r="B58" s="594"/>
      <c r="C58" s="599"/>
      <c r="D58" s="426" t="s">
        <v>290</v>
      </c>
      <c r="F58" s="431"/>
      <c r="G58" s="431"/>
      <c r="H58" s="431"/>
    </row>
    <row r="59" spans="1:8" ht="15.75" thickBot="1" x14ac:dyDescent="0.25">
      <c r="A59" s="592"/>
      <c r="B59" s="594"/>
      <c r="C59" s="599"/>
      <c r="D59" s="429" t="s">
        <v>291</v>
      </c>
      <c r="F59" s="431"/>
      <c r="G59" s="431"/>
      <c r="H59" s="431"/>
    </row>
    <row r="60" spans="1:8" ht="16.5" thickBot="1" x14ac:dyDescent="0.25">
      <c r="A60" s="592"/>
      <c r="B60" s="592"/>
      <c r="C60" s="469" t="s">
        <v>176</v>
      </c>
      <c r="D60" s="470" t="s">
        <v>292</v>
      </c>
      <c r="F60" s="431"/>
      <c r="G60" s="431"/>
      <c r="H60" s="431"/>
    </row>
    <row r="61" spans="1:8" ht="19.5" thickBot="1" x14ac:dyDescent="0.25">
      <c r="A61" s="592"/>
      <c r="B61" s="592"/>
      <c r="C61" s="596" t="s">
        <v>293</v>
      </c>
      <c r="D61" s="597"/>
      <c r="F61" s="431"/>
      <c r="G61" s="431"/>
      <c r="H61" s="431"/>
    </row>
    <row r="62" spans="1:8" ht="16.5" thickBot="1" x14ac:dyDescent="0.3">
      <c r="A62" s="592"/>
      <c r="B62" s="592"/>
      <c r="C62" s="417" t="s">
        <v>294</v>
      </c>
      <c r="D62" s="420" t="s">
        <v>295</v>
      </c>
      <c r="F62" s="428"/>
      <c r="G62" s="428"/>
    </row>
    <row r="63" spans="1:8" x14ac:dyDescent="0.2">
      <c r="A63" s="592"/>
      <c r="B63" s="592"/>
      <c r="C63" s="432"/>
      <c r="D63" s="433"/>
      <c r="F63" s="428"/>
      <c r="G63" s="428"/>
    </row>
    <row r="64" spans="1:8" x14ac:dyDescent="0.2">
      <c r="A64" s="592"/>
      <c r="B64" s="592"/>
      <c r="C64" s="434"/>
      <c r="D64" s="435"/>
      <c r="F64" s="428"/>
      <c r="G64" s="428"/>
    </row>
    <row r="65" spans="1:7" x14ac:dyDescent="0.2">
      <c r="A65" s="592"/>
      <c r="B65" s="592"/>
      <c r="C65" s="436"/>
      <c r="D65" s="435"/>
      <c r="F65" s="428"/>
      <c r="G65" s="428"/>
    </row>
    <row r="66" spans="1:7" x14ac:dyDescent="0.2">
      <c r="A66" s="592"/>
      <c r="B66" s="592"/>
      <c r="C66" s="434"/>
      <c r="D66" s="435"/>
      <c r="F66" s="428"/>
      <c r="G66" s="428"/>
    </row>
    <row r="67" spans="1:7" x14ac:dyDescent="0.2">
      <c r="A67" s="592"/>
      <c r="B67" s="592"/>
      <c r="C67" s="436"/>
      <c r="D67" s="435"/>
      <c r="F67" s="428"/>
      <c r="G67" s="428"/>
    </row>
    <row r="68" spans="1:7" x14ac:dyDescent="0.2">
      <c r="A68" s="592"/>
      <c r="B68" s="592"/>
      <c r="C68" s="434"/>
      <c r="D68" s="437"/>
      <c r="F68" s="428"/>
      <c r="G68" s="428"/>
    </row>
    <row r="69" spans="1:7" x14ac:dyDescent="0.2">
      <c r="A69" s="592"/>
      <c r="B69" s="592"/>
      <c r="C69" s="438"/>
      <c r="D69" s="437"/>
      <c r="F69" s="428"/>
      <c r="G69" s="428"/>
    </row>
    <row r="70" spans="1:7" ht="13.5" thickBot="1" x14ac:dyDescent="0.25">
      <c r="A70" s="593"/>
      <c r="B70" s="593"/>
      <c r="C70" s="439"/>
      <c r="D70" s="440"/>
      <c r="F70" s="441"/>
      <c r="G70" s="441"/>
    </row>
    <row r="71" spans="1:7" x14ac:dyDescent="0.2">
      <c r="A71" s="442"/>
      <c r="B71" s="443"/>
      <c r="C71" s="444"/>
      <c r="D71" s="445"/>
      <c r="E71" s="446"/>
      <c r="F71" s="447"/>
      <c r="G71" s="448"/>
    </row>
    <row r="72" spans="1:7" x14ac:dyDescent="0.2">
      <c r="A72" s="449"/>
    </row>
    <row r="73" spans="1:7" ht="15.75" x14ac:dyDescent="0.2">
      <c r="A73" s="450" t="s">
        <v>296</v>
      </c>
      <c r="B73" s="451"/>
      <c r="C73" s="452"/>
      <c r="D73" s="452"/>
      <c r="E73" s="453"/>
      <c r="F73" s="447"/>
      <c r="G73" s="447"/>
    </row>
    <row r="74" spans="1:7" x14ac:dyDescent="0.2">
      <c r="E74" s="453"/>
      <c r="F74" s="447"/>
      <c r="G74" s="447"/>
    </row>
    <row r="75" spans="1:7" x14ac:dyDescent="0.2">
      <c r="E75" s="453"/>
      <c r="F75" s="447"/>
      <c r="G75" s="447"/>
    </row>
    <row r="76" spans="1:7" x14ac:dyDescent="0.2">
      <c r="E76" s="453"/>
      <c r="F76" s="447"/>
      <c r="G76" s="447"/>
    </row>
    <row r="77" spans="1:7" x14ac:dyDescent="0.2">
      <c r="E77" s="453"/>
      <c r="F77" s="447"/>
      <c r="G77" s="454"/>
    </row>
  </sheetData>
  <mergeCells count="10">
    <mergeCell ref="C4:D4"/>
    <mergeCell ref="A6:A70"/>
    <mergeCell ref="B6:B70"/>
    <mergeCell ref="C14:C17"/>
    <mergeCell ref="C61:D61"/>
    <mergeCell ref="C43:C59"/>
    <mergeCell ref="C6:C13"/>
    <mergeCell ref="C18:C21"/>
    <mergeCell ref="C22:C34"/>
    <mergeCell ref="C35:C42"/>
  </mergeCells>
  <hyperlinks>
    <hyperlink ref="E1" r:id="rId1" display="https://cpf.portal.navy.mil/sites/cnap/N42/N422/Shared Documents/Forms/site.aspx?RootFolder=%2Fsites%2Fcnap%2FN42%2FN422%2FShared%20Documents%2FN422C%20NAMP%2FMESMs%20and%20MC%2DFMC%20Goals" xr:uid="{00000000-0004-0000-0700-000000000000}"/>
    <hyperlink ref="E2" location="Inventory!A1" display="Inventory" xr:uid="{00000000-0004-0000-0700-000001000000}"/>
  </hyperlinks>
  <pageMargins left="0.25" right="0.25" top="0.25" bottom="0.25" header="0.5" footer="0.5"/>
  <pageSetup scale="80" orientation="landscape" horizontalDpi="300" verticalDpi="300"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
  <sheetViews>
    <sheetView showGridLines="0" workbookViewId="0"/>
  </sheetViews>
  <sheetFormatPr defaultRowHeight="15" x14ac:dyDescent="0.25"/>
  <cols>
    <col min="1" max="1" width="16" style="395" bestFit="1" customWidth="1"/>
    <col min="2" max="2" width="100.85546875" style="395" customWidth="1"/>
    <col min="3" max="16384" width="9.140625" style="395"/>
  </cols>
  <sheetData>
    <row r="1" spans="1:2" x14ac:dyDescent="0.25">
      <c r="A1" s="394" t="s">
        <v>37</v>
      </c>
    </row>
    <row r="3" spans="1:2" x14ac:dyDescent="0.25">
      <c r="A3" s="396" t="s">
        <v>297</v>
      </c>
      <c r="B3" s="396" t="s">
        <v>298</v>
      </c>
    </row>
    <row r="4" spans="1:2" ht="60" x14ac:dyDescent="0.25">
      <c r="A4" s="397" t="s">
        <v>176</v>
      </c>
      <c r="B4" s="398" t="s">
        <v>299</v>
      </c>
    </row>
    <row r="5" spans="1:2" x14ac:dyDescent="0.25">
      <c r="A5" s="160"/>
      <c r="B5" s="160"/>
    </row>
    <row r="6" spans="1:2" x14ac:dyDescent="0.25">
      <c r="A6" s="160"/>
      <c r="B6" s="160"/>
    </row>
    <row r="7" spans="1:2" x14ac:dyDescent="0.25">
      <c r="A7" s="160"/>
      <c r="B7" s="160"/>
    </row>
    <row r="8" spans="1:2" x14ac:dyDescent="0.25">
      <c r="A8" s="160"/>
      <c r="B8" s="160"/>
    </row>
    <row r="9" spans="1:2" x14ac:dyDescent="0.25">
      <c r="A9" s="160"/>
      <c r="B9" s="160"/>
    </row>
    <row r="10" spans="1:2" x14ac:dyDescent="0.25">
      <c r="A10" s="160"/>
      <c r="B10" s="160"/>
    </row>
    <row r="11" spans="1:2" x14ac:dyDescent="0.25">
      <c r="A11" s="160"/>
      <c r="B11" s="160"/>
    </row>
    <row r="12" spans="1:2" x14ac:dyDescent="0.25">
      <c r="A12" s="160"/>
      <c r="B12" s="160"/>
    </row>
    <row r="13" spans="1:2" x14ac:dyDescent="0.25">
      <c r="A13" s="160"/>
      <c r="B13" s="160"/>
    </row>
    <row r="14" spans="1:2" x14ac:dyDescent="0.25">
      <c r="A14" s="160"/>
      <c r="B14" s="160"/>
    </row>
    <row r="15" spans="1:2" x14ac:dyDescent="0.25">
      <c r="A15" s="160"/>
      <c r="B15" s="160"/>
    </row>
    <row r="16" spans="1:2" x14ac:dyDescent="0.25">
      <c r="A16" s="160"/>
      <c r="B16" s="160"/>
    </row>
    <row r="17" spans="1:2" x14ac:dyDescent="0.25">
      <c r="A17" s="160"/>
      <c r="B17" s="160"/>
    </row>
  </sheetData>
  <hyperlinks>
    <hyperlink ref="A1" location="Inventory!A1" display="Inventory" xr:uid="{00000000-0004-0000-0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12CBD8-D27B-480D-B192-FE0901FFB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4A4592-5714-4E03-89CD-9C0B5438D9F7}">
  <ds:schemaRefs>
    <ds:schemaRef ds:uri="http://schemas.microsoft.com/sharepoint/v3/contenttype/forms"/>
  </ds:schemaRefs>
</ds:datastoreItem>
</file>

<file path=customXml/itemProps3.xml><?xml version="1.0" encoding="utf-8"?>
<ds:datastoreItem xmlns:ds="http://schemas.openxmlformats.org/officeDocument/2006/customXml" ds:itemID="{4040B8DA-330B-4CE9-BF78-8BBD9862BCBA}">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33575d1-c635-47cb-9f2e-8b33b5cd6b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Inventory</vt:lpstr>
      <vt:lpstr>Log</vt:lpstr>
      <vt:lpstr>VRC C-2A 2-ACFT DRRS(U)</vt:lpstr>
      <vt:lpstr>VRC C-2A FDNF DRRS(U)</vt:lpstr>
      <vt:lpstr>VRC (C-2A FRS)</vt:lpstr>
      <vt:lpstr>VRC C-2A Reduced MET Matrix</vt:lpstr>
      <vt:lpstr>C-2A Mission System Summary</vt:lpstr>
      <vt:lpstr>VRC C-2A Mission Systems</vt:lpstr>
      <vt:lpstr>Definitions</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dc:title>
  <dc:subject/>
  <dc:creator>michael.fleetwood</dc:creator>
  <cp:keywords/>
  <dc:description/>
  <cp:lastModifiedBy>Mark Bodoh</cp:lastModifiedBy>
  <cp:revision/>
  <dcterms:created xsi:type="dcterms:W3CDTF">2008-09-03T14:42:13Z</dcterms:created>
  <dcterms:modified xsi:type="dcterms:W3CDTF">2023-04-05T23:49:10Z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MSIP_Label_afe64f26-154f-4743-927e-a7310aa86873_Enabled">
    <vt:lpwstr>true</vt:lpwstr>
  </property>
  <property fmtid="{D5CDD505-2E9C-101B-9397-08002B2CF9AE}" pid="4" name="MSIP_Label_afe64f26-154f-4743-927e-a7310aa86873_SetDate">
    <vt:lpwstr>2023-04-05T23:48:44Z</vt:lpwstr>
  </property>
  <property fmtid="{D5CDD505-2E9C-101B-9397-08002B2CF9AE}" pid="5" name="MSIP_Label_afe64f26-154f-4743-927e-a7310aa86873_Method">
    <vt:lpwstr>Privileged</vt:lpwstr>
  </property>
  <property fmtid="{D5CDD505-2E9C-101B-9397-08002B2CF9AE}" pid="6" name="MSIP_Label_afe64f26-154f-4743-927e-a7310aa86873_Name">
    <vt:lpwstr>GovernmentData</vt:lpwstr>
  </property>
  <property fmtid="{D5CDD505-2E9C-101B-9397-08002B2CF9AE}" pid="7" name="MSIP_Label_afe64f26-154f-4743-927e-a7310aa86873_SiteId">
    <vt:lpwstr>29ac9fa0-83e8-40a8-914f-a74b1c9c46d0</vt:lpwstr>
  </property>
  <property fmtid="{D5CDD505-2E9C-101B-9397-08002B2CF9AE}" pid="8" name="MSIP_Label_afe64f26-154f-4743-927e-a7310aa86873_ActionId">
    <vt:lpwstr>af28dd10-0913-43a8-953a-68ffa96cb0db</vt:lpwstr>
  </property>
  <property fmtid="{D5CDD505-2E9C-101B-9397-08002B2CF9AE}" pid="9" name="MSIP_Label_afe64f26-154f-4743-927e-a7310aa86873_ContentBits">
    <vt:lpwstr>0</vt:lpwstr>
  </property>
</Properties>
</file>